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D disc\Firma\Novi list\3EI USAID 2021 - 2025\Realizacija projekta\T1-1-2 and T1-1-3\Task 1-1-3\Toolkit\Tools Final\"/>
    </mc:Choice>
  </mc:AlternateContent>
  <bookViews>
    <workbookView xWindow="0" yWindow="0" windowWidth="20490" windowHeight="7755"/>
  </bookViews>
  <sheets>
    <sheet name="Pocetna" sheetId="1" r:id="rId1"/>
    <sheet name="PomTab1" sheetId="4" state="hidden" r:id="rId2"/>
    <sheet name="UnosPodataka" sheetId="2" r:id="rId3"/>
    <sheet name="Ustede" sheetId="5" r:id="rId4"/>
    <sheet name="Anuiteti" sheetId="6" r:id="rId5"/>
    <sheet name="FinaIndicators" sheetId="7" r:id="rId6"/>
    <sheet name="EconIndicators" sheetId="9" r:id="rId7"/>
    <sheet name="GraphFina" sheetId="10" r:id="rId8"/>
    <sheet name="GraphEcon" sheetId="11" r:id="rId9"/>
    <sheet name="LCoEE" sheetId="12" r:id="rId10"/>
    <sheet name="SALCoEE" sheetId="13" r:id="rId11"/>
    <sheet name="AkoESCO" sheetId="14" r:id="rId12"/>
    <sheet name="ESCOGrafFina" sheetId="15" r:id="rId13"/>
    <sheet name="REZIME" sheetId="16" r:id="rId14"/>
  </sheets>
  <externalReferences>
    <externalReference r:id="rId15"/>
    <externalReference r:id="rId16"/>
  </externalReferences>
  <definedNames>
    <definedName name="CARBON">UnosPodataka!$M$8</definedName>
    <definedName name="Equity">UnosPodataka!$F$21</definedName>
    <definedName name="FIRR">FinaIndicators!$E$39</definedName>
    <definedName name="FNPV">FinaIndicators!$E$38</definedName>
    <definedName name="InfRate" comment="Inflacija">0</definedName>
    <definedName name="Investment">UnosPodataka!$F$14</definedName>
    <definedName name="Kurs_EUR" comment="Obračunski kurs EUR na dan 19-5-2022">117.489</definedName>
    <definedName name="LCoE">LCoEE!$E$13</definedName>
    <definedName name="LOAN">UnosPodataka!$F$24</definedName>
    <definedName name="PDV" comment="Porez na dodatu vrednost (opšti)">0.2</definedName>
    <definedName name="PDVG" comment="Porez na dodatu vrednost usluga grejanja">0.1</definedName>
    <definedName name="PROJEKAT">Pocetna!$M$7</definedName>
    <definedName name="VAT" comment="Porez na poslovanje kompanije">0.15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2" l="1"/>
  <c r="P34" i="4"/>
  <c r="E12" i="16" l="1"/>
  <c r="E11" i="16"/>
  <c r="E10" i="16"/>
  <c r="E9" i="16"/>
  <c r="E8" i="16"/>
  <c r="E7" i="16"/>
  <c r="E6" i="16"/>
  <c r="E5" i="16"/>
  <c r="E4" i="16"/>
  <c r="E3" i="16"/>
  <c r="Y4" i="14" l="1"/>
  <c r="G4" i="14"/>
  <c r="H4" i="14" s="1"/>
  <c r="I4" i="14" s="1"/>
  <c r="J4" i="14" s="1"/>
  <c r="K4" i="14" s="1"/>
  <c r="L4" i="14" s="1"/>
  <c r="M4" i="14" s="1"/>
  <c r="N4" i="14" s="1"/>
  <c r="O4" i="14" s="1"/>
  <c r="P4" i="14" s="1"/>
  <c r="Q4" i="14" s="1"/>
  <c r="R4" i="14" s="1"/>
  <c r="S4" i="14" s="1"/>
  <c r="T4" i="14" s="1"/>
  <c r="U4" i="14" s="1"/>
  <c r="V4" i="14" s="1"/>
  <c r="W4" i="14" s="1"/>
  <c r="X4" i="14" s="1"/>
  <c r="F4" i="14"/>
  <c r="G17" i="9" l="1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F17" i="9"/>
  <c r="G16" i="7"/>
  <c r="G6" i="14" s="1"/>
  <c r="G7" i="14" s="1"/>
  <c r="H16" i="7"/>
  <c r="H6" i="14" s="1"/>
  <c r="H7" i="14" s="1"/>
  <c r="I16" i="7"/>
  <c r="I6" i="14" s="1"/>
  <c r="I7" i="14" s="1"/>
  <c r="J16" i="7"/>
  <c r="J6" i="14" s="1"/>
  <c r="J7" i="14" s="1"/>
  <c r="K16" i="7"/>
  <c r="K6" i="14" s="1"/>
  <c r="K7" i="14" s="1"/>
  <c r="L16" i="7"/>
  <c r="L6" i="14" s="1"/>
  <c r="L7" i="14" s="1"/>
  <c r="M16" i="7"/>
  <c r="M6" i="14" s="1"/>
  <c r="M7" i="14" s="1"/>
  <c r="N16" i="7"/>
  <c r="N6" i="14" s="1"/>
  <c r="N7" i="14" s="1"/>
  <c r="O16" i="7"/>
  <c r="O6" i="14" s="1"/>
  <c r="O7" i="14" s="1"/>
  <c r="P16" i="7"/>
  <c r="P6" i="14" s="1"/>
  <c r="P7" i="14" s="1"/>
  <c r="Q16" i="7"/>
  <c r="Q6" i="14" s="1"/>
  <c r="Q7" i="14" s="1"/>
  <c r="R16" i="7"/>
  <c r="R6" i="14" s="1"/>
  <c r="R7" i="14" s="1"/>
  <c r="S16" i="7"/>
  <c r="S6" i="14" s="1"/>
  <c r="S7" i="14" s="1"/>
  <c r="T16" i="7"/>
  <c r="T6" i="14" s="1"/>
  <c r="T7" i="14" s="1"/>
  <c r="U16" i="7"/>
  <c r="U6" i="14" s="1"/>
  <c r="U7" i="14" s="1"/>
  <c r="V16" i="7"/>
  <c r="V6" i="14" s="1"/>
  <c r="V7" i="14" s="1"/>
  <c r="W16" i="7"/>
  <c r="W6" i="14" s="1"/>
  <c r="W7" i="14" s="1"/>
  <c r="X16" i="7"/>
  <c r="X6" i="14" s="1"/>
  <c r="X7" i="14" s="1"/>
  <c r="Y16" i="7"/>
  <c r="Y6" i="14" s="1"/>
  <c r="Y7" i="14" s="1"/>
  <c r="F16" i="7"/>
  <c r="F6" i="14" s="1"/>
  <c r="E9" i="14" l="1"/>
  <c r="F7" i="14"/>
  <c r="G10" i="12"/>
  <c r="H10" i="12"/>
  <c r="I10" i="12"/>
  <c r="J10" i="12"/>
  <c r="J11" i="12" s="1"/>
  <c r="K10" i="12"/>
  <c r="L10" i="12"/>
  <c r="M10" i="12"/>
  <c r="N10" i="12"/>
  <c r="N11" i="12" s="1"/>
  <c r="O10" i="12"/>
  <c r="P10" i="12"/>
  <c r="Q10" i="12"/>
  <c r="R10" i="12"/>
  <c r="R11" i="12" s="1"/>
  <c r="S10" i="12"/>
  <c r="T10" i="12"/>
  <c r="U10" i="12"/>
  <c r="V10" i="12"/>
  <c r="V11" i="12" s="1"/>
  <c r="W10" i="12"/>
  <c r="X10" i="12"/>
  <c r="Y10" i="12"/>
  <c r="F10" i="12"/>
  <c r="U11" i="12"/>
  <c r="F11" i="12"/>
  <c r="F14" i="2"/>
  <c r="G11" i="12"/>
  <c r="H11" i="12"/>
  <c r="I11" i="12"/>
  <c r="K11" i="12"/>
  <c r="L11" i="12"/>
  <c r="M11" i="12"/>
  <c r="O11" i="12"/>
  <c r="P11" i="12"/>
  <c r="Q11" i="12"/>
  <c r="S11" i="12"/>
  <c r="T11" i="12"/>
  <c r="W11" i="12"/>
  <c r="X11" i="12"/>
  <c r="Y11" i="12"/>
  <c r="F6" i="12"/>
  <c r="G4" i="12"/>
  <c r="H4" i="12" s="1"/>
  <c r="I4" i="12" s="1"/>
  <c r="J4" i="12" s="1"/>
  <c r="K4" i="12" s="1"/>
  <c r="L4" i="12" s="1"/>
  <c r="M4" i="12" s="1"/>
  <c r="N4" i="12" s="1"/>
  <c r="O4" i="12" s="1"/>
  <c r="P4" i="12" s="1"/>
  <c r="Q4" i="12" s="1"/>
  <c r="R4" i="12" s="1"/>
  <c r="S4" i="12" s="1"/>
  <c r="T4" i="12" s="1"/>
  <c r="U4" i="12" s="1"/>
  <c r="V4" i="12" s="1"/>
  <c r="W4" i="12" s="1"/>
  <c r="X4" i="12" s="1"/>
  <c r="Y4" i="12" s="1"/>
  <c r="F4" i="12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F22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F16" i="9"/>
  <c r="N14" i="9"/>
  <c r="O14" i="9"/>
  <c r="O18" i="9" s="1"/>
  <c r="P14" i="9"/>
  <c r="P18" i="9" s="1"/>
  <c r="Q14" i="9"/>
  <c r="Q18" i="9" s="1"/>
  <c r="R14" i="9"/>
  <c r="S14" i="9"/>
  <c r="S18" i="9" s="1"/>
  <c r="T14" i="9"/>
  <c r="T18" i="9" s="1"/>
  <c r="U14" i="9"/>
  <c r="U18" i="9" s="1"/>
  <c r="V14" i="9"/>
  <c r="W14" i="9"/>
  <c r="W18" i="9" s="1"/>
  <c r="X14" i="9"/>
  <c r="X18" i="9" s="1"/>
  <c r="Y14" i="9"/>
  <c r="Y18" i="9" s="1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F11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F10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F9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F8" i="9"/>
  <c r="G3" i="9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E6" i="9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F21" i="7"/>
  <c r="F15" i="7"/>
  <c r="F10" i="7"/>
  <c r="F9" i="7"/>
  <c r="F8" i="7"/>
  <c r="G3" i="7"/>
  <c r="G15" i="7" s="1"/>
  <c r="E6" i="7"/>
  <c r="F14" i="5"/>
  <c r="F15" i="5" s="1"/>
  <c r="V18" i="9" l="1"/>
  <c r="R18" i="9"/>
  <c r="N18" i="9"/>
  <c r="H3" i="7"/>
  <c r="G8" i="7"/>
  <c r="G9" i="7"/>
  <c r="G10" i="7"/>
  <c r="I3" i="7" l="1"/>
  <c r="H15" i="7"/>
  <c r="H10" i="7"/>
  <c r="H9" i="7"/>
  <c r="H8" i="7"/>
  <c r="J3" i="7" l="1"/>
  <c r="I10" i="7"/>
  <c r="I8" i="7"/>
  <c r="I9" i="7"/>
  <c r="I15" i="7"/>
  <c r="K3" i="7" l="1"/>
  <c r="J15" i="7"/>
  <c r="J10" i="7"/>
  <c r="J9" i="7"/>
  <c r="J8" i="7"/>
  <c r="L3" i="7" l="1"/>
  <c r="K15" i="7"/>
  <c r="K10" i="7"/>
  <c r="K9" i="7"/>
  <c r="K8" i="7"/>
  <c r="M3" i="7" l="1"/>
  <c r="L15" i="7"/>
  <c r="L10" i="7"/>
  <c r="L9" i="7"/>
  <c r="L8" i="7"/>
  <c r="N3" i="7" l="1"/>
  <c r="M15" i="7"/>
  <c r="M10" i="7"/>
  <c r="M9" i="7"/>
  <c r="M8" i="7"/>
  <c r="O3" i="7" l="1"/>
  <c r="N15" i="7"/>
  <c r="N10" i="7"/>
  <c r="N9" i="7"/>
  <c r="N8" i="7"/>
  <c r="N13" i="7"/>
  <c r="N17" i="7" s="1"/>
  <c r="N7" i="12" s="1"/>
  <c r="P3" i="7" l="1"/>
  <c r="O15" i="7"/>
  <c r="O13" i="7"/>
  <c r="O10" i="7"/>
  <c r="O9" i="7"/>
  <c r="O8" i="7"/>
  <c r="O17" i="7" l="1"/>
  <c r="O7" i="12" s="1"/>
  <c r="Q3" i="7"/>
  <c r="P15" i="7"/>
  <c r="P13" i="7"/>
  <c r="P10" i="7"/>
  <c r="P9" i="7"/>
  <c r="P8" i="7"/>
  <c r="P17" i="7" l="1"/>
  <c r="P7" i="12" s="1"/>
  <c r="R3" i="7"/>
  <c r="Q15" i="7"/>
  <c r="Q10" i="7"/>
  <c r="Q9" i="7"/>
  <c r="Q8" i="7"/>
  <c r="Q13" i="7"/>
  <c r="Q17" i="7" s="1"/>
  <c r="Q7" i="12" s="1"/>
  <c r="S3" i="7" l="1"/>
  <c r="R15" i="7"/>
  <c r="R10" i="7"/>
  <c r="R9" i="7"/>
  <c r="R8" i="7"/>
  <c r="R13" i="7"/>
  <c r="R17" i="7" l="1"/>
  <c r="R7" i="12" s="1"/>
  <c r="T3" i="7"/>
  <c r="S15" i="7"/>
  <c r="S13" i="7"/>
  <c r="S17" i="7" s="1"/>
  <c r="S7" i="12" s="1"/>
  <c r="S10" i="7"/>
  <c r="S9" i="7"/>
  <c r="S8" i="7"/>
  <c r="U3" i="7" l="1"/>
  <c r="T15" i="7"/>
  <c r="T13" i="7"/>
  <c r="T17" i="7" s="1"/>
  <c r="T7" i="12" s="1"/>
  <c r="T10" i="7"/>
  <c r="T9" i="7"/>
  <c r="T8" i="7"/>
  <c r="V3" i="7" l="1"/>
  <c r="U13" i="7"/>
  <c r="U15" i="7"/>
  <c r="U10" i="7"/>
  <c r="U9" i="7"/>
  <c r="U8" i="7"/>
  <c r="U17" i="7" l="1"/>
  <c r="U7" i="12" s="1"/>
  <c r="W3" i="7"/>
  <c r="V15" i="7"/>
  <c r="V10" i="7"/>
  <c r="V9" i="7"/>
  <c r="V8" i="7"/>
  <c r="V13" i="7"/>
  <c r="V17" i="7" l="1"/>
  <c r="V7" i="12" s="1"/>
  <c r="X3" i="7"/>
  <c r="W15" i="7"/>
  <c r="W13" i="7"/>
  <c r="W17" i="7" s="1"/>
  <c r="W7" i="12" s="1"/>
  <c r="W10" i="7"/>
  <c r="W9" i="7"/>
  <c r="W8" i="7"/>
  <c r="Y3" i="7" l="1"/>
  <c r="X15" i="7"/>
  <c r="X13" i="7"/>
  <c r="X17" i="7" s="1"/>
  <c r="X7" i="12" s="1"/>
  <c r="X10" i="7"/>
  <c r="X9" i="7"/>
  <c r="X8" i="7"/>
  <c r="Y10" i="7" l="1"/>
  <c r="Y8" i="7"/>
  <c r="Y15" i="7"/>
  <c r="Y13" i="7"/>
  <c r="Y9" i="7"/>
  <c r="Y17" i="7" l="1"/>
  <c r="Y7" i="12" s="1"/>
  <c r="F15" i="9" l="1"/>
  <c r="G15" i="9" l="1"/>
  <c r="H15" i="9" l="1"/>
  <c r="I15" i="9"/>
  <c r="J15" i="9" l="1"/>
  <c r="K15" i="9" l="1"/>
  <c r="L15" i="9" l="1"/>
  <c r="M15" i="9" l="1"/>
  <c r="N15" i="9" l="1"/>
  <c r="O15" i="9" l="1"/>
  <c r="P15" i="9" l="1"/>
  <c r="Q15" i="9" l="1"/>
  <c r="R15" i="9" l="1"/>
  <c r="S15" i="9" l="1"/>
  <c r="T15" i="9" l="1"/>
  <c r="U15" i="9" l="1"/>
  <c r="V15" i="9" l="1"/>
  <c r="W15" i="9" l="1"/>
  <c r="X15" i="9" l="1"/>
  <c r="Y15" i="9" l="1"/>
  <c r="F14" i="7" l="1"/>
  <c r="B9" i="6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G14" i="7" l="1"/>
  <c r="H14" i="7" l="1"/>
  <c r="I14" i="7" l="1"/>
  <c r="J14" i="7" l="1"/>
  <c r="K14" i="7" l="1"/>
  <c r="L14" i="7" l="1"/>
  <c r="M14" i="7" l="1"/>
  <c r="N14" i="7" l="1"/>
  <c r="O14" i="7" l="1"/>
  <c r="P14" i="7" l="1"/>
  <c r="Q14" i="7" l="1"/>
  <c r="U12" i="9" l="1"/>
  <c r="U31" i="9" s="1"/>
  <c r="U32" i="9" s="1"/>
  <c r="T12" i="9"/>
  <c r="T31" i="9" s="1"/>
  <c r="T32" i="9" s="1"/>
  <c r="W12" i="9"/>
  <c r="W31" i="9" s="1"/>
  <c r="W32" i="9" s="1"/>
  <c r="S12" i="9"/>
  <c r="S31" i="9" s="1"/>
  <c r="S32" i="9" s="1"/>
  <c r="Y12" i="9"/>
  <c r="Y31" i="9" s="1"/>
  <c r="Y32" i="9" s="1"/>
  <c r="X12" i="9"/>
  <c r="X31" i="9" s="1"/>
  <c r="X32" i="9" s="1"/>
  <c r="V12" i="9"/>
  <c r="V31" i="9" s="1"/>
  <c r="V32" i="9" s="1"/>
  <c r="R12" i="9"/>
  <c r="R31" i="9" s="1"/>
  <c r="R32" i="9" s="1"/>
  <c r="F12" i="9"/>
  <c r="F31" i="9" s="1"/>
  <c r="F32" i="9" s="1"/>
  <c r="F33" i="9" s="1"/>
  <c r="J12" i="9"/>
  <c r="J31" i="9" s="1"/>
  <c r="J32" i="9" s="1"/>
  <c r="Q12" i="9"/>
  <c r="Q31" i="9" s="1"/>
  <c r="Q32" i="9" s="1"/>
  <c r="M12" i="9"/>
  <c r="M31" i="9" s="1"/>
  <c r="M32" i="9" s="1"/>
  <c r="P12" i="9"/>
  <c r="P31" i="9" s="1"/>
  <c r="P32" i="9" s="1"/>
  <c r="L12" i="9"/>
  <c r="L31" i="9" s="1"/>
  <c r="L32" i="9" s="1"/>
  <c r="N12" i="9"/>
  <c r="N31" i="9" s="1"/>
  <c r="N32" i="9" s="1"/>
  <c r="O12" i="9"/>
  <c r="O31" i="9" s="1"/>
  <c r="O32" i="9" s="1"/>
  <c r="K12" i="9"/>
  <c r="K31" i="9" s="1"/>
  <c r="K32" i="9" s="1"/>
  <c r="H12" i="9"/>
  <c r="H31" i="9" s="1"/>
  <c r="H32" i="9" s="1"/>
  <c r="I12" i="9"/>
  <c r="I31" i="9" s="1"/>
  <c r="I32" i="9" s="1"/>
  <c r="G12" i="9"/>
  <c r="G31" i="9" s="1"/>
  <c r="G32" i="9" s="1"/>
  <c r="R11" i="7"/>
  <c r="R14" i="7"/>
  <c r="O11" i="7"/>
  <c r="O30" i="7" s="1"/>
  <c r="O31" i="7" s="1"/>
  <c r="J11" i="7"/>
  <c r="J30" i="7" s="1"/>
  <c r="J31" i="7" s="1"/>
  <c r="K11" i="7"/>
  <c r="K30" i="7" s="1"/>
  <c r="K31" i="7" s="1"/>
  <c r="G11" i="7"/>
  <c r="G30" i="7" s="1"/>
  <c r="G31" i="7" s="1"/>
  <c r="Q11" i="7"/>
  <c r="Q30" i="7" s="1"/>
  <c r="Q31" i="7" s="1"/>
  <c r="P11" i="7"/>
  <c r="P30" i="7" s="1"/>
  <c r="P31" i="7" s="1"/>
  <c r="F11" i="7"/>
  <c r="F30" i="7" s="1"/>
  <c r="F31" i="7" s="1"/>
  <c r="F32" i="7" s="1"/>
  <c r="M11" i="7"/>
  <c r="M30" i="7" s="1"/>
  <c r="M31" i="7" s="1"/>
  <c r="L11" i="7"/>
  <c r="L30" i="7" s="1"/>
  <c r="L31" i="7" s="1"/>
  <c r="N11" i="7"/>
  <c r="N30" i="7" s="1"/>
  <c r="N31" i="7" s="1"/>
  <c r="I11" i="7"/>
  <c r="I30" i="7" s="1"/>
  <c r="I31" i="7" s="1"/>
  <c r="H11" i="7"/>
  <c r="H30" i="7" s="1"/>
  <c r="H31" i="7" s="1"/>
  <c r="F22" i="2"/>
  <c r="B21" i="4"/>
  <c r="R30" i="7" l="1"/>
  <c r="R31" i="7" s="1"/>
  <c r="S14" i="7"/>
  <c r="G33" i="9"/>
  <c r="F37" i="9"/>
  <c r="F36" i="7"/>
  <c r="G32" i="7"/>
  <c r="F24" i="2"/>
  <c r="E4" i="6" l="1"/>
  <c r="E5" i="7"/>
  <c r="E5" i="9"/>
  <c r="S11" i="7"/>
  <c r="T11" i="7"/>
  <c r="T14" i="7"/>
  <c r="H32" i="7"/>
  <c r="G36" i="7"/>
  <c r="H33" i="9"/>
  <c r="G37" i="9"/>
  <c r="T30" i="7" l="1"/>
  <c r="T31" i="7" s="1"/>
  <c r="S30" i="7"/>
  <c r="S31" i="7" s="1"/>
  <c r="U14" i="7"/>
  <c r="H37" i="9"/>
  <c r="I33" i="9"/>
  <c r="I32" i="7"/>
  <c r="H36" i="7"/>
  <c r="U11" i="7" l="1"/>
  <c r="U30" i="7" s="1"/>
  <c r="U31" i="7" s="1"/>
  <c r="E25" i="7"/>
  <c r="E11" i="6"/>
  <c r="E29" i="7"/>
  <c r="E35" i="7"/>
  <c r="V11" i="7"/>
  <c r="V30" i="7" s="1"/>
  <c r="V31" i="7" s="1"/>
  <c r="V14" i="7"/>
  <c r="J32" i="7"/>
  <c r="I36" i="7"/>
  <c r="I37" i="9"/>
  <c r="J33" i="9"/>
  <c r="E26" i="9" l="1"/>
  <c r="E36" i="9"/>
  <c r="E30" i="9"/>
  <c r="E9" i="6"/>
  <c r="E23" i="6"/>
  <c r="E25" i="6"/>
  <c r="E20" i="6"/>
  <c r="E21" i="6"/>
  <c r="E24" i="6"/>
  <c r="E26" i="6"/>
  <c r="E27" i="6"/>
  <c r="E22" i="6"/>
  <c r="E10" i="6"/>
  <c r="E19" i="6"/>
  <c r="E8" i="6"/>
  <c r="C8" i="6"/>
  <c r="D8" i="6"/>
  <c r="E17" i="6"/>
  <c r="E12" i="6"/>
  <c r="E13" i="6"/>
  <c r="E14" i="6"/>
  <c r="E16" i="6"/>
  <c r="E18" i="6"/>
  <c r="E15" i="6"/>
  <c r="W14" i="7"/>
  <c r="K33" i="9"/>
  <c r="J37" i="9"/>
  <c r="K32" i="7"/>
  <c r="J36" i="7"/>
  <c r="F13" i="7" l="1"/>
  <c r="F17" i="7" s="1"/>
  <c r="F7" i="12" s="1"/>
  <c r="F14" i="9"/>
  <c r="F18" i="9" s="1"/>
  <c r="F20" i="9" s="1"/>
  <c r="F23" i="9" s="1"/>
  <c r="F25" i="9" s="1"/>
  <c r="F26" i="9" s="1"/>
  <c r="W11" i="7"/>
  <c r="W30" i="7" s="1"/>
  <c r="W31" i="7" s="1"/>
  <c r="C9" i="6"/>
  <c r="D9" i="6" s="1"/>
  <c r="X14" i="7"/>
  <c r="L32" i="7"/>
  <c r="K36" i="7"/>
  <c r="K37" i="9"/>
  <c r="L33" i="9"/>
  <c r="F27" i="7" l="1"/>
  <c r="F28" i="7" s="1"/>
  <c r="F29" i="7" s="1"/>
  <c r="F35" i="7" s="1"/>
  <c r="G14" i="9"/>
  <c r="G18" i="9" s="1"/>
  <c r="G20" i="9" s="1"/>
  <c r="G23" i="9" s="1"/>
  <c r="G25" i="9" s="1"/>
  <c r="G26" i="9" s="1"/>
  <c r="G13" i="7"/>
  <c r="G17" i="7" s="1"/>
  <c r="F19" i="7"/>
  <c r="F22" i="7" s="1"/>
  <c r="F24" i="7" s="1"/>
  <c r="F25" i="7" s="1"/>
  <c r="C10" i="6"/>
  <c r="D10" i="6" s="1"/>
  <c r="F28" i="9"/>
  <c r="F29" i="9" s="1"/>
  <c r="F30" i="9" s="1"/>
  <c r="X11" i="7"/>
  <c r="X30" i="7" s="1"/>
  <c r="X31" i="7" s="1"/>
  <c r="Y14" i="7"/>
  <c r="L37" i="9"/>
  <c r="M33" i="9"/>
  <c r="M32" i="7"/>
  <c r="L36" i="7"/>
  <c r="F33" i="7" l="1"/>
  <c r="G7" i="12"/>
  <c r="G8" i="12" s="1"/>
  <c r="G27" i="7"/>
  <c r="G28" i="7" s="1"/>
  <c r="G29" i="7" s="1"/>
  <c r="G33" i="7" s="1"/>
  <c r="C11" i="6"/>
  <c r="D11" i="6" s="1"/>
  <c r="H14" i="9"/>
  <c r="H18" i="9" s="1"/>
  <c r="H13" i="7"/>
  <c r="H17" i="7" s="1"/>
  <c r="H7" i="12" s="1"/>
  <c r="G19" i="7"/>
  <c r="G22" i="7" s="1"/>
  <c r="G24" i="7" s="1"/>
  <c r="G25" i="7" s="1"/>
  <c r="G28" i="9"/>
  <c r="G29" i="9" s="1"/>
  <c r="G30" i="9" s="1"/>
  <c r="F34" i="9"/>
  <c r="F36" i="9"/>
  <c r="Y11" i="7"/>
  <c r="N32" i="7"/>
  <c r="M36" i="7"/>
  <c r="M37" i="9"/>
  <c r="N33" i="9"/>
  <c r="C12" i="6"/>
  <c r="D12" i="6" s="1"/>
  <c r="G35" i="7" l="1"/>
  <c r="J14" i="9"/>
  <c r="J18" i="9" s="1"/>
  <c r="J13" i="7"/>
  <c r="J17" i="7" s="1"/>
  <c r="J7" i="12" s="1"/>
  <c r="I14" i="9"/>
  <c r="I18" i="9" s="1"/>
  <c r="I20" i="9" s="1"/>
  <c r="I23" i="9" s="1"/>
  <c r="I13" i="7"/>
  <c r="I17" i="7" s="1"/>
  <c r="I7" i="12" s="1"/>
  <c r="H8" i="12"/>
  <c r="G36" i="9"/>
  <c r="G34" i="9"/>
  <c r="H20" i="9"/>
  <c r="H23" i="9" s="1"/>
  <c r="H25" i="9" s="1"/>
  <c r="H26" i="9" s="1"/>
  <c r="H28" i="9"/>
  <c r="H29" i="9" s="1"/>
  <c r="H30" i="9" s="1"/>
  <c r="H27" i="7"/>
  <c r="H28" i="7" s="1"/>
  <c r="H29" i="7" s="1"/>
  <c r="H35" i="7" s="1"/>
  <c r="H19" i="7"/>
  <c r="H22" i="7" s="1"/>
  <c r="H24" i="7" s="1"/>
  <c r="H25" i="7" s="1"/>
  <c r="I8" i="12"/>
  <c r="Y30" i="7"/>
  <c r="Y31" i="7" s="1"/>
  <c r="N37" i="9"/>
  <c r="O33" i="9"/>
  <c r="O32" i="7"/>
  <c r="N36" i="7"/>
  <c r="C13" i="6"/>
  <c r="D13" i="6" s="1"/>
  <c r="I28" i="9" l="1"/>
  <c r="I29" i="9" s="1"/>
  <c r="I30" i="9" s="1"/>
  <c r="I36" i="9" s="1"/>
  <c r="K14" i="9"/>
  <c r="K18" i="9" s="1"/>
  <c r="K13" i="7"/>
  <c r="K17" i="7" s="1"/>
  <c r="K7" i="12" s="1"/>
  <c r="I27" i="7"/>
  <c r="I28" i="7" s="1"/>
  <c r="I29" i="7" s="1"/>
  <c r="I35" i="7" s="1"/>
  <c r="I19" i="7"/>
  <c r="I22" i="7" s="1"/>
  <c r="I24" i="7" s="1"/>
  <c r="I25" i="7" s="1"/>
  <c r="H33" i="7"/>
  <c r="H36" i="9"/>
  <c r="H34" i="9"/>
  <c r="J8" i="12"/>
  <c r="P32" i="7"/>
  <c r="O36" i="7"/>
  <c r="O37" i="9"/>
  <c r="P33" i="9"/>
  <c r="I25" i="9"/>
  <c r="I26" i="9" s="1"/>
  <c r="J28" i="9"/>
  <c r="J29" i="9" s="1"/>
  <c r="J20" i="9"/>
  <c r="J23" i="9" s="1"/>
  <c r="J19" i="7"/>
  <c r="J22" i="7" s="1"/>
  <c r="J24" i="7" s="1"/>
  <c r="J25" i="7" s="1"/>
  <c r="J27" i="7"/>
  <c r="J28" i="7" s="1"/>
  <c r="C14" i="6"/>
  <c r="D14" i="6" s="1"/>
  <c r="J30" i="9" l="1"/>
  <c r="J36" i="9" s="1"/>
  <c r="J29" i="7"/>
  <c r="J35" i="7" s="1"/>
  <c r="I33" i="7"/>
  <c r="L14" i="9"/>
  <c r="L18" i="9" s="1"/>
  <c r="L13" i="7"/>
  <c r="L17" i="7" s="1"/>
  <c r="L7" i="12" s="1"/>
  <c r="I34" i="9"/>
  <c r="K8" i="12"/>
  <c r="P37" i="9"/>
  <c r="Q33" i="9"/>
  <c r="Q32" i="7"/>
  <c r="R32" i="7" s="1"/>
  <c r="P36" i="7"/>
  <c r="J34" i="9"/>
  <c r="K28" i="9"/>
  <c r="K29" i="9" s="1"/>
  <c r="K30" i="9" s="1"/>
  <c r="K20" i="9"/>
  <c r="K23" i="9" s="1"/>
  <c r="J25" i="9"/>
  <c r="J26" i="9" s="1"/>
  <c r="K19" i="7"/>
  <c r="K22" i="7" s="1"/>
  <c r="K24" i="7" s="1"/>
  <c r="K25" i="7" s="1"/>
  <c r="K27" i="7"/>
  <c r="K28" i="7" s="1"/>
  <c r="C15" i="6"/>
  <c r="D15" i="6" s="1"/>
  <c r="K29" i="7" l="1"/>
  <c r="K33" i="7" s="1"/>
  <c r="J33" i="7"/>
  <c r="M14" i="9"/>
  <c r="M18" i="9" s="1"/>
  <c r="M13" i="7"/>
  <c r="M17" i="7" s="1"/>
  <c r="M7" i="12" s="1"/>
  <c r="L8" i="12"/>
  <c r="S32" i="7"/>
  <c r="Q37" i="9"/>
  <c r="R33" i="9"/>
  <c r="Q36" i="7"/>
  <c r="R36" i="7" s="1"/>
  <c r="K36" i="9"/>
  <c r="K34" i="9"/>
  <c r="L28" i="9"/>
  <c r="L29" i="9" s="1"/>
  <c r="L30" i="9" s="1"/>
  <c r="L20" i="9"/>
  <c r="L23" i="9" s="1"/>
  <c r="K25" i="9"/>
  <c r="K26" i="9" s="1"/>
  <c r="L19" i="7"/>
  <c r="L22" i="7" s="1"/>
  <c r="L24" i="7" s="1"/>
  <c r="L25" i="7" s="1"/>
  <c r="L27" i="7"/>
  <c r="L28" i="7" s="1"/>
  <c r="L29" i="7" s="1"/>
  <c r="C16" i="6"/>
  <c r="D16" i="6" s="1"/>
  <c r="K35" i="7" l="1"/>
  <c r="M8" i="12"/>
  <c r="S33" i="9"/>
  <c r="R37" i="9"/>
  <c r="T32" i="7"/>
  <c r="S36" i="7"/>
  <c r="L36" i="9"/>
  <c r="L34" i="9"/>
  <c r="L33" i="7"/>
  <c r="L35" i="7"/>
  <c r="L25" i="9"/>
  <c r="L26" i="9" s="1"/>
  <c r="M28" i="9"/>
  <c r="M29" i="9" s="1"/>
  <c r="M30" i="9" s="1"/>
  <c r="M20" i="9"/>
  <c r="M23" i="9" s="1"/>
  <c r="M19" i="7"/>
  <c r="M22" i="7" s="1"/>
  <c r="M24" i="7" s="1"/>
  <c r="M25" i="7" s="1"/>
  <c r="M27" i="7"/>
  <c r="M28" i="7" s="1"/>
  <c r="M29" i="7" s="1"/>
  <c r="C17" i="6"/>
  <c r="D17" i="6" s="1"/>
  <c r="T36" i="7" l="1"/>
  <c r="N8" i="12"/>
  <c r="S37" i="9"/>
  <c r="T33" i="9"/>
  <c r="U32" i="7"/>
  <c r="M35" i="7"/>
  <c r="M33" i="7"/>
  <c r="M36" i="9"/>
  <c r="M34" i="9"/>
  <c r="N28" i="9"/>
  <c r="N29" i="9" s="1"/>
  <c r="N30" i="9" s="1"/>
  <c r="N20" i="9"/>
  <c r="N23" i="9" s="1"/>
  <c r="N19" i="7"/>
  <c r="N22" i="7" s="1"/>
  <c r="N24" i="7" s="1"/>
  <c r="N25" i="7" s="1"/>
  <c r="N27" i="7"/>
  <c r="N28" i="7" s="1"/>
  <c r="N29" i="7" s="1"/>
  <c r="M25" i="9"/>
  <c r="M26" i="9" s="1"/>
  <c r="C18" i="6"/>
  <c r="O8" i="12" l="1"/>
  <c r="U33" i="9"/>
  <c r="V32" i="7"/>
  <c r="U36" i="7"/>
  <c r="T37" i="9"/>
  <c r="N35" i="7"/>
  <c r="N33" i="7"/>
  <c r="N36" i="9"/>
  <c r="N34" i="9"/>
  <c r="O28" i="9"/>
  <c r="O29" i="9" s="1"/>
  <c r="O30" i="9" s="1"/>
  <c r="O20" i="9"/>
  <c r="O23" i="9" s="1"/>
  <c r="O19" i="7"/>
  <c r="O22" i="7" s="1"/>
  <c r="O24" i="7" s="1"/>
  <c r="O25" i="7" s="1"/>
  <c r="O27" i="7"/>
  <c r="O28" i="7" s="1"/>
  <c r="O29" i="7" s="1"/>
  <c r="N25" i="9"/>
  <c r="N26" i="9" s="1"/>
  <c r="D18" i="6"/>
  <c r="U37" i="9" l="1"/>
  <c r="V33" i="9"/>
  <c r="W32" i="7"/>
  <c r="V36" i="7"/>
  <c r="O35" i="7"/>
  <c r="O33" i="7"/>
  <c r="O25" i="9"/>
  <c r="O26" i="9" s="1"/>
  <c r="O36" i="9"/>
  <c r="O34" i="9"/>
  <c r="C19" i="6"/>
  <c r="W36" i="7" l="1"/>
  <c r="P8" i="12"/>
  <c r="W33" i="9"/>
  <c r="D19" i="6"/>
  <c r="X32" i="7"/>
  <c r="V37" i="9"/>
  <c r="P19" i="7"/>
  <c r="P22" i="7" s="1"/>
  <c r="P24" i="7" s="1"/>
  <c r="P25" i="7" s="1"/>
  <c r="P27" i="7"/>
  <c r="P28" i="7" s="1"/>
  <c r="P29" i="7" s="1"/>
  <c r="P28" i="9"/>
  <c r="P29" i="9" s="1"/>
  <c r="P30" i="9" s="1"/>
  <c r="P20" i="9"/>
  <c r="P23" i="9" s="1"/>
  <c r="W37" i="9" l="1"/>
  <c r="C20" i="6"/>
  <c r="D20" i="6" s="1"/>
  <c r="Y32" i="7"/>
  <c r="X33" i="9"/>
  <c r="X37" i="9" s="1"/>
  <c r="X36" i="7"/>
  <c r="P33" i="7"/>
  <c r="P35" i="7"/>
  <c r="Q28" i="9"/>
  <c r="Q29" i="9" s="1"/>
  <c r="Q30" i="9" s="1"/>
  <c r="Q20" i="9"/>
  <c r="Q23" i="9" s="1"/>
  <c r="P25" i="9"/>
  <c r="P26" i="9" s="1"/>
  <c r="P36" i="9"/>
  <c r="P34" i="9"/>
  <c r="Q27" i="7" l="1"/>
  <c r="Q28" i="7" s="1"/>
  <c r="Q29" i="7" s="1"/>
  <c r="Q35" i="7" s="1"/>
  <c r="Q8" i="12"/>
  <c r="C21" i="6"/>
  <c r="Y36" i="7"/>
  <c r="Q19" i="7"/>
  <c r="Q22" i="7" s="1"/>
  <c r="Q24" i="7" s="1"/>
  <c r="Q25" i="7" s="1"/>
  <c r="Y33" i="9"/>
  <c r="Y37" i="9" s="1"/>
  <c r="R28" i="9"/>
  <c r="R29" i="9" s="1"/>
  <c r="R30" i="9" s="1"/>
  <c r="R20" i="9"/>
  <c r="R23" i="9" s="1"/>
  <c r="D21" i="6"/>
  <c r="Q36" i="9"/>
  <c r="Q34" i="9"/>
  <c r="Q25" i="9"/>
  <c r="Q26" i="9" s="1"/>
  <c r="Q33" i="7" l="1"/>
  <c r="R8" i="12"/>
  <c r="R19" i="7"/>
  <c r="R22" i="7" s="1"/>
  <c r="R24" i="7" s="1"/>
  <c r="R25" i="7" s="1"/>
  <c r="R27" i="7"/>
  <c r="R28" i="7" s="1"/>
  <c r="R29" i="7" s="1"/>
  <c r="R33" i="7" s="1"/>
  <c r="R34" i="9"/>
  <c r="R25" i="9"/>
  <c r="R26" i="9" s="1"/>
  <c r="C22" i="6"/>
  <c r="D22" i="6" s="1"/>
  <c r="R36" i="9"/>
  <c r="R35" i="7" l="1"/>
  <c r="S8" i="12"/>
  <c r="C23" i="6"/>
  <c r="S28" i="9"/>
  <c r="S29" i="9" s="1"/>
  <c r="S30" i="9" s="1"/>
  <c r="S36" i="9" s="1"/>
  <c r="S20" i="9"/>
  <c r="S23" i="9" s="1"/>
  <c r="S27" i="7"/>
  <c r="S28" i="7" s="1"/>
  <c r="S29" i="7" s="1"/>
  <c r="S19" i="7"/>
  <c r="S22" i="7" s="1"/>
  <c r="S35" i="7" l="1"/>
  <c r="T8" i="12"/>
  <c r="T28" i="9"/>
  <c r="T29" i="9" s="1"/>
  <c r="T30" i="9" s="1"/>
  <c r="T20" i="9"/>
  <c r="T23" i="9" s="1"/>
  <c r="S25" i="9"/>
  <c r="S26" i="9" s="1"/>
  <c r="D23" i="6"/>
  <c r="S34" i="9"/>
  <c r="S33" i="7"/>
  <c r="S24" i="7"/>
  <c r="S25" i="7" s="1"/>
  <c r="T27" i="7"/>
  <c r="T28" i="7" s="1"/>
  <c r="T29" i="7" s="1"/>
  <c r="T19" i="7"/>
  <c r="T22" i="7" s="1"/>
  <c r="T33" i="7" l="1"/>
  <c r="T35" i="7"/>
  <c r="T34" i="9"/>
  <c r="T36" i="9"/>
  <c r="T25" i="9"/>
  <c r="T26" i="9" s="1"/>
  <c r="T24" i="7"/>
  <c r="T25" i="7" s="1"/>
  <c r="C24" i="6"/>
  <c r="U8" i="12" l="1"/>
  <c r="U28" i="9"/>
  <c r="U29" i="9" s="1"/>
  <c r="U30" i="9" s="1"/>
  <c r="U36" i="9" s="1"/>
  <c r="U20" i="9"/>
  <c r="U23" i="9" s="1"/>
  <c r="U27" i="7"/>
  <c r="U28" i="7" s="1"/>
  <c r="U29" i="7" s="1"/>
  <c r="U35" i="7" s="1"/>
  <c r="U19" i="7"/>
  <c r="U22" i="7" s="1"/>
  <c r="D24" i="6"/>
  <c r="U24" i="7" l="1"/>
  <c r="U25" i="7" s="1"/>
  <c r="U33" i="7"/>
  <c r="U25" i="9"/>
  <c r="U26" i="9" s="1"/>
  <c r="C25" i="6"/>
  <c r="D25" i="6" s="1"/>
  <c r="U34" i="9"/>
  <c r="V8" i="12" l="1"/>
  <c r="V27" i="7"/>
  <c r="V28" i="7" s="1"/>
  <c r="V29" i="7" s="1"/>
  <c r="V19" i="7"/>
  <c r="V22" i="7" s="1"/>
  <c r="V28" i="9"/>
  <c r="V29" i="9" s="1"/>
  <c r="V30" i="9" s="1"/>
  <c r="V20" i="9"/>
  <c r="V23" i="9" s="1"/>
  <c r="C26" i="6"/>
  <c r="D26" i="6" s="1"/>
  <c r="W8" i="12" l="1"/>
  <c r="W27" i="7"/>
  <c r="W28" i="7" s="1"/>
  <c r="W29" i="7" s="1"/>
  <c r="W19" i="7"/>
  <c r="W22" i="7" s="1"/>
  <c r="V33" i="7"/>
  <c r="V35" i="7"/>
  <c r="V24" i="7"/>
  <c r="V25" i="7" s="1"/>
  <c r="V25" i="9"/>
  <c r="V26" i="9" s="1"/>
  <c r="W28" i="9"/>
  <c r="W29" i="9" s="1"/>
  <c r="W30" i="9" s="1"/>
  <c r="W20" i="9"/>
  <c r="W23" i="9" s="1"/>
  <c r="C27" i="6"/>
  <c r="D27" i="6" s="1"/>
  <c r="V34" i="9"/>
  <c r="V36" i="9"/>
  <c r="X8" i="12" l="1"/>
  <c r="W34" i="9"/>
  <c r="W33" i="7"/>
  <c r="W25" i="9"/>
  <c r="W26" i="9" s="1"/>
  <c r="W24" i="7"/>
  <c r="W25" i="7" s="1"/>
  <c r="X27" i="7"/>
  <c r="X28" i="7" s="1"/>
  <c r="X29" i="7" s="1"/>
  <c r="X19" i="7"/>
  <c r="X22" i="7" s="1"/>
  <c r="W36" i="9"/>
  <c r="X28" i="9"/>
  <c r="X29" i="9" s="1"/>
  <c r="X30" i="9" s="1"/>
  <c r="X20" i="9"/>
  <c r="X23" i="9" s="1"/>
  <c r="W35" i="7"/>
  <c r="Y8" i="12" l="1"/>
  <c r="X34" i="9"/>
  <c r="X33" i="7"/>
  <c r="Y28" i="9"/>
  <c r="Y29" i="9" s="1"/>
  <c r="Y30" i="9" s="1"/>
  <c r="Y20" i="9"/>
  <c r="Y23" i="9" s="1"/>
  <c r="X24" i="7"/>
  <c r="X25" i="7" s="1"/>
  <c r="X25" i="9"/>
  <c r="X26" i="9" s="1"/>
  <c r="X35" i="7"/>
  <c r="Y27" i="7"/>
  <c r="Y28" i="7" s="1"/>
  <c r="Y29" i="7" s="1"/>
  <c r="Y33" i="7" s="1"/>
  <c r="Y19" i="7"/>
  <c r="Y22" i="7" s="1"/>
  <c r="X36" i="9"/>
  <c r="Y35" i="7" l="1"/>
  <c r="Y36" i="9"/>
  <c r="Y25" i="9"/>
  <c r="Y26" i="9" s="1"/>
  <c r="Y24" i="7"/>
  <c r="Y25" i="7" s="1"/>
  <c r="E38" i="7" l="1"/>
  <c r="E39" i="7"/>
  <c r="E40" i="9"/>
  <c r="E39" i="9"/>
  <c r="F8" i="12"/>
  <c r="E14" i="12" l="1"/>
  <c r="E13" i="12"/>
</calcChain>
</file>

<file path=xl/sharedStrings.xml><?xml version="1.0" encoding="utf-8"?>
<sst xmlns="http://schemas.openxmlformats.org/spreadsheetml/2006/main" count="262" uniqueCount="178">
  <si>
    <t>SET SOFTVERSKOG ALATA ZA ANALIZU EFIKASNOSTI MERA KOJE IMPLEMENTIRAJU KOMPANIJE ZA DALJINSKO GREJANJE</t>
  </si>
  <si>
    <t>EUR</t>
  </si>
  <si>
    <t>Izabrati meru koja se analizira</t>
  </si>
  <si>
    <t>Podsticaji</t>
  </si>
  <si>
    <t>Grant finansijske institucije</t>
  </si>
  <si>
    <t>Grant lokalne samouprave</t>
  </si>
  <si>
    <t>Grant Uprave za EE i OIE</t>
  </si>
  <si>
    <t>Grant zelenih fondova</t>
  </si>
  <si>
    <t>Učešće krajnjih korisnika</t>
  </si>
  <si>
    <t>ESCO sopstveni kapital</t>
  </si>
  <si>
    <t>Fiksno</t>
  </si>
  <si>
    <t>Investicija</t>
  </si>
  <si>
    <t>Ostalo</t>
  </si>
  <si>
    <t>Konver.F.</t>
  </si>
  <si>
    <t>Prirodni gas</t>
  </si>
  <si>
    <t>Tečni naftni gas</t>
  </si>
  <si>
    <t>Lož-ulje</t>
  </si>
  <si>
    <t>Mazut</t>
  </si>
  <si>
    <t>Električna energija</t>
  </si>
  <si>
    <t>Drvo</t>
  </si>
  <si>
    <t>Mrki ugalj</t>
  </si>
  <si>
    <t>Lignit</t>
  </si>
  <si>
    <t>Solarna energija</t>
  </si>
  <si>
    <t>Drvo sertifikovano</t>
  </si>
  <si>
    <t>EUR ili -</t>
  </si>
  <si>
    <t>MWh/a</t>
  </si>
  <si>
    <t>EUR/a</t>
  </si>
  <si>
    <t>Period</t>
  </si>
  <si>
    <t>EBT (EUR/a)</t>
  </si>
  <si>
    <t>EBTDA (EUR/a)</t>
  </si>
  <si>
    <t>NPV (EUR)</t>
  </si>
  <si>
    <t>IRR (%)</t>
  </si>
  <si>
    <t>LCoEE (EUR/MWh):</t>
  </si>
  <si>
    <r>
      <t>LCoCO</t>
    </r>
    <r>
      <rPr>
        <vertAlign val="subscript"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 xml:space="preserve"> (EUR/t</t>
    </r>
    <r>
      <rPr>
        <vertAlign val="subscript"/>
        <sz val="11"/>
        <color theme="0"/>
        <rFont val="Calibri"/>
        <family val="2"/>
        <scheme val="minor"/>
      </rPr>
      <t>CO2 eq</t>
    </r>
    <r>
      <rPr>
        <sz val="11"/>
        <color theme="0"/>
        <rFont val="Calibri"/>
        <family val="2"/>
        <scheme val="minor"/>
      </rPr>
      <t>):</t>
    </r>
  </si>
  <si>
    <t>Projakat</t>
  </si>
  <si>
    <t>Termoizolacija omotača zgrade</t>
  </si>
  <si>
    <t>Ugradnja TS ventila i alokatora troškova</t>
  </si>
  <si>
    <t>Zamena stolarije</t>
  </si>
  <si>
    <t>Modernizacija toplotnih podstanica</t>
  </si>
  <si>
    <t>Ugradnja cirkulacione pumpe sa promenljivim brojem obrtaja</t>
  </si>
  <si>
    <t>Kompenzacija snage - elektro</t>
  </si>
  <si>
    <t>Termoizolacija cevovoda i opreme</t>
  </si>
  <si>
    <t>Instalacija SCADA</t>
  </si>
  <si>
    <t>Ugradnja rekuperatora toplote u dimovodni trakt</t>
  </si>
  <si>
    <t>Rekonstrukcija distributivne mreže</t>
  </si>
  <si>
    <t>Ugradnja toplotne pumpe i povezivanje na sekundar TPS</t>
  </si>
  <si>
    <t>Ugradnja termal-solar sistema u zgradi</t>
  </si>
  <si>
    <t>Termal-solar velikog kapaciteta</t>
  </si>
  <si>
    <t>Toplotna pumpa velikog kapaciteta</t>
  </si>
  <si>
    <t>Foto-naponska instalacija</t>
  </si>
  <si>
    <t>Kotao na drvnu sečku</t>
  </si>
  <si>
    <t>Izračunavanje cene toplote</t>
  </si>
  <si>
    <t>Priprema projekta (projekti, dozvole, ostalo)</t>
  </si>
  <si>
    <t>Nadzor i upravljanje projektom</t>
  </si>
  <si>
    <t>Nabavka opreme i materijala</t>
  </si>
  <si>
    <t>Mašinsko-montažni radovi</t>
  </si>
  <si>
    <t>Građevinski radovi</t>
  </si>
  <si>
    <t>Povezivanje signalnih kablova</t>
  </si>
  <si>
    <t>Ispitivanje na nepropusnost i čvrstoću</t>
  </si>
  <si>
    <t>Primopredaja radova</t>
  </si>
  <si>
    <t>Nepredviđeni troškovi</t>
  </si>
  <si>
    <t>ESCO/DG operativni troškovi</t>
  </si>
  <si>
    <t>Udeo u uštedama ako gradi ESCO</t>
  </si>
  <si>
    <t>Troškovi održavanja</t>
  </si>
  <si>
    <t>Amortizacija i depresijacija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</si>
  <si>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Taksa</t>
    </r>
  </si>
  <si>
    <r>
      <t>Konverzioni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faktor - t/MWh primarne energije</t>
    </r>
  </si>
  <si>
    <t>Period otplate ili period garantovane uštede</t>
  </si>
  <si>
    <t>Vremenski okvir projekta</t>
  </si>
  <si>
    <t>Diskontna stopa</t>
  </si>
  <si>
    <t>Kamatna stopa na sredstva iz kredita</t>
  </si>
  <si>
    <t>Gorivo ili energija</t>
  </si>
  <si>
    <t>Prosečan prečnik</t>
  </si>
  <si>
    <t>W/m</t>
  </si>
  <si>
    <t>DN50</t>
  </si>
  <si>
    <t>DN65</t>
  </si>
  <si>
    <t>DN80</t>
  </si>
  <si>
    <t>DN100</t>
  </si>
  <si>
    <t>DN125</t>
  </si>
  <si>
    <t>DN150</t>
  </si>
  <si>
    <t>DN200</t>
  </si>
  <si>
    <t>DN250</t>
  </si>
  <si>
    <t>DN300</t>
  </si>
  <si>
    <t>DN350</t>
  </si>
  <si>
    <t>DN400</t>
  </si>
  <si>
    <t>ENERGIJA I TROŠKOVI ENERGIJE</t>
  </si>
  <si>
    <t>Proizvodna cena toplote</t>
  </si>
  <si>
    <t>Gubici vode, pre projekta</t>
  </si>
  <si>
    <t>Gubici vode, posle projekta</t>
  </si>
  <si>
    <t>Prosečna temperatura u distributivnoj mreži</t>
  </si>
  <si>
    <t>Temperatura sirove vode</t>
  </si>
  <si>
    <t>Prosečan prečnik sekcije koja se rekonstruiše</t>
  </si>
  <si>
    <t>Dužina sekcije (trase)</t>
  </si>
  <si>
    <t>Stepen oštećenja termičke izolacije</t>
  </si>
  <si>
    <t>Ušteda energije</t>
  </si>
  <si>
    <t>Ušteda u novcu</t>
  </si>
  <si>
    <t>RSD/MWh</t>
  </si>
  <si>
    <t>t/a</t>
  </si>
  <si>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</si>
  <si>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t>-</t>
  </si>
  <si>
    <t>m</t>
  </si>
  <si>
    <t>Prema metodologiji</t>
  </si>
  <si>
    <t>Prema izveštaju tehničkog sektora</t>
  </si>
  <si>
    <t>Cena vode</t>
  </si>
  <si>
    <r>
      <t>RSD/m</t>
    </r>
    <r>
      <rPr>
        <vertAlign val="superscript"/>
        <sz val="11"/>
        <color theme="1"/>
        <rFont val="Calibri"/>
        <family val="2"/>
        <scheme val="minor"/>
      </rPr>
      <t>3</t>
    </r>
  </si>
  <si>
    <t>UNOS PODATAKA ZA PRORAČUN</t>
  </si>
  <si>
    <t>Ukupno:</t>
  </si>
  <si>
    <t>Kredit:</t>
  </si>
  <si>
    <t>CO2 Taksa</t>
  </si>
  <si>
    <t>Konverzioni CO2 faktor - t/MWh primarne energije</t>
  </si>
  <si>
    <t>IZRAČUNAVANJE ANUITETA</t>
  </si>
  <si>
    <t>Preostali iznos glavnice (EUR)</t>
  </si>
  <si>
    <t>Kamata = Troškovi kredita (EUR)</t>
  </si>
  <si>
    <t>Anuiteti (EUR)</t>
  </si>
  <si>
    <t>FINANSIJSKI INDIKATORI</t>
  </si>
  <si>
    <t>Kredit (EUR)</t>
  </si>
  <si>
    <t>Sopstveni kapital (EUR)</t>
  </si>
  <si>
    <t>Uštede izražene u novcu (EUR/a)</t>
  </si>
  <si>
    <t>Ukupan prihod = uštede (EUR)</t>
  </si>
  <si>
    <t>Troškovi finansiranja - kamate (EUR/a)</t>
  </si>
  <si>
    <t>Operativni troškovi (EUR/a)</t>
  </si>
  <si>
    <t>Troškovi održavanja (EUR/a)</t>
  </si>
  <si>
    <t>Ukupno godišnji troškovi (EUR/a)</t>
  </si>
  <si>
    <t>Amortizacija i depresijacija (EUR)</t>
  </si>
  <si>
    <t>Porez na dobit</t>
  </si>
  <si>
    <t>Dobit nakon oporezivanja (EUR/a)</t>
  </si>
  <si>
    <t>ESCO/DG Nominalni troškovi</t>
  </si>
  <si>
    <t>ESCO Diskontovani troškovi</t>
  </si>
  <si>
    <t>ESCO/DG Diskontovani troškovi, kumul.</t>
  </si>
  <si>
    <t>ESCO/DG Nominalni prihodi</t>
  </si>
  <si>
    <t>ESC/DG Diskontovani prihodi</t>
  </si>
  <si>
    <t>ESCO/DG Diskontovani prihodi, kumul.</t>
  </si>
  <si>
    <t>EBTDA diskontovano, kumulativno</t>
  </si>
  <si>
    <t>Graf - Troškovi diskontovani, kumul.</t>
  </si>
  <si>
    <t>Graf - Prihodi diskontovani, kumul.</t>
  </si>
  <si>
    <t>EKONOMSKI INDIKATORI</t>
  </si>
  <si>
    <t>Ušteda energije (MWh/a)</t>
  </si>
  <si>
    <t>Ušteda vode (t/a)</t>
  </si>
  <si>
    <r>
      <t>Prihod od karbon taksi (CO</t>
    </r>
    <r>
      <rPr>
        <vertAlign val="subscript"/>
        <sz val="11"/>
        <color theme="1"/>
        <rFont val="Calibri"/>
        <family val="2"/>
        <scheme val="minor"/>
      </rPr>
      <t>2)</t>
    </r>
  </si>
  <si>
    <t>Ukupni prihod (EUR)</t>
  </si>
  <si>
    <t>Troškovi finansirnja - kamate (EUR/a)</t>
  </si>
  <si>
    <t>Ukupni godišnji troškovi (EUR/a)</t>
  </si>
  <si>
    <t>ESCO/DG Diskontovani troškovi</t>
  </si>
  <si>
    <t>ESCO/DG Nominalni prihod</t>
  </si>
  <si>
    <t>ESCO/DG Diskontovani prihodi</t>
  </si>
  <si>
    <t>Graf - Prihodi, diskontovani, kumul.</t>
  </si>
  <si>
    <t>GRAF / CASH FLOW / FINANSIJSKI</t>
  </si>
  <si>
    <t>GRAPH / CASH FLOW / EKONOMSKI</t>
  </si>
  <si>
    <t>LCoEE Proračun</t>
  </si>
  <si>
    <t>Vremenski okvir</t>
  </si>
  <si>
    <t>Investicija (EUR)</t>
  </si>
  <si>
    <t>Operativni troškovi i održavanje (EUR)</t>
  </si>
  <si>
    <t>Ukupni troškovi (EUR)</t>
  </si>
  <si>
    <r>
      <t>Smanjenje emisije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(t/a)</t>
    </r>
  </si>
  <si>
    <t>ANALIZA OSETLJIVOSTI</t>
  </si>
  <si>
    <t>Bez izmena</t>
  </si>
  <si>
    <t>Promena investicionih troškova</t>
  </si>
  <si>
    <t>Promena operativnih troškova i održavanja</t>
  </si>
  <si>
    <t>Promena ušteda energije</t>
  </si>
  <si>
    <t>Iznos kredita:</t>
  </si>
  <si>
    <t>NAZAD</t>
  </si>
  <si>
    <t>DALJE</t>
  </si>
  <si>
    <t>Udeo u uštedama ako gradi ESCO (EUR/a)</t>
  </si>
  <si>
    <t>ESCO INVESTICIJA</t>
  </si>
  <si>
    <t>N/A</t>
  </si>
  <si>
    <t>GRAFIK / CASH FLOW / FINANSIJSKI</t>
  </si>
  <si>
    <t>Udeo ako gradi ESCO (EUR/a)</t>
  </si>
  <si>
    <t>Diskontovana vrednost udela (EUR/a)</t>
  </si>
  <si>
    <t>REZIME PROJEKTA</t>
  </si>
  <si>
    <t>Projekat</t>
  </si>
  <si>
    <t>Investiciona vrednost (EUR)</t>
  </si>
  <si>
    <t>Subvencije (EUR)</t>
  </si>
  <si>
    <t>LCoE(EE) (EUR/MWh)</t>
  </si>
  <si>
    <t>FNPV (EUR)</t>
  </si>
  <si>
    <t>FIRR (%)</t>
  </si>
  <si>
    <t>ESCO NPV (EUR)</t>
  </si>
  <si>
    <t>ESCO IRR (%)</t>
  </si>
  <si>
    <t>Miks goriva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</si>
</sst>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vertAlign val="subscript"/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gradientFill degree="90">
        <stop position="0">
          <color theme="0"/>
        </stop>
        <stop position="0.5">
          <color rgb="FFC00000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B050"/>
        </stop>
        <stop position="1">
          <color theme="0"/>
        </stop>
      </gradient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5">
    <xf numFmtId="0" fontId="0" fillId="0" borderId="0" xfId="0"/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Alignment="1"/>
    <xf numFmtId="4" fontId="0" fillId="0" borderId="0" xfId="0" applyNumberFormat="1"/>
    <xf numFmtId="0" fontId="2" fillId="3" borderId="0" xfId="0" applyFont="1" applyFill="1"/>
    <xf numFmtId="0" fontId="2" fillId="4" borderId="0" xfId="0" applyFont="1" applyFill="1"/>
    <xf numFmtId="0" fontId="0" fillId="0" borderId="0" xfId="0" applyAlignment="1">
      <alignment horizontal="center"/>
    </xf>
    <xf numFmtId="10" fontId="0" fillId="0" borderId="0" xfId="0" applyNumberFormat="1"/>
    <xf numFmtId="4" fontId="0" fillId="0" borderId="0" xfId="0" applyNumberFormat="1" applyProtection="1"/>
    <xf numFmtId="4" fontId="0" fillId="0" borderId="0" xfId="0" applyNumberFormat="1" applyProtection="1">
      <protection locked="0"/>
    </xf>
    <xf numFmtId="1" fontId="0" fillId="0" borderId="0" xfId="0" applyNumberFormat="1"/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vertical="distributed"/>
    </xf>
    <xf numFmtId="3" fontId="0" fillId="0" borderId="0" xfId="0" applyNumberFormat="1"/>
    <xf numFmtId="4" fontId="0" fillId="0" borderId="0" xfId="0" applyNumberFormat="1" applyAlignment="1">
      <alignment horizontal="right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0" fontId="0" fillId="0" borderId="0" xfId="0" applyNumberFormat="1"/>
    <xf numFmtId="9" fontId="0" fillId="0" borderId="0" xfId="0" applyNumberFormat="1"/>
    <xf numFmtId="0" fontId="2" fillId="5" borderId="0" xfId="0" applyFont="1" applyFill="1"/>
    <xf numFmtId="0" fontId="3" fillId="7" borderId="0" xfId="0" applyFont="1" applyFill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0" fontId="0" fillId="0" borderId="0" xfId="0" applyProtection="1"/>
    <xf numFmtId="0" fontId="2" fillId="3" borderId="0" xfId="0" applyFont="1" applyFill="1" applyProtection="1"/>
    <xf numFmtId="10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2" fillId="5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5" borderId="0" xfId="0" applyFont="1" applyFill="1" applyAlignment="1">
      <alignment horizontal="center"/>
    </xf>
    <xf numFmtId="0" fontId="2" fillId="7" borderId="0" xfId="0" applyFont="1" applyFill="1"/>
    <xf numFmtId="0" fontId="0" fillId="7" borderId="0" xfId="0" applyFill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4" fontId="0" fillId="2" borderId="0" xfId="0" applyNumberFormat="1" applyFill="1"/>
    <xf numFmtId="3" fontId="0" fillId="2" borderId="0" xfId="0" applyNumberFormat="1" applyFill="1"/>
    <xf numFmtId="2" fontId="0" fillId="2" borderId="0" xfId="0" applyNumberFormat="1" applyFill="1"/>
    <xf numFmtId="10" fontId="0" fillId="2" borderId="0" xfId="0" applyNumberFormat="1" applyFill="1"/>
    <xf numFmtId="0" fontId="0" fillId="2" borderId="0" xfId="0" applyFill="1" applyAlignment="1">
      <alignment horizontal="right"/>
    </xf>
    <xf numFmtId="4" fontId="0" fillId="8" borderId="0" xfId="0" applyNumberFormat="1" applyFill="1"/>
    <xf numFmtId="3" fontId="0" fillId="8" borderId="0" xfId="0" applyNumberFormat="1" applyFill="1"/>
    <xf numFmtId="0" fontId="0" fillId="0" borderId="0" xfId="0" applyAlignment="1">
      <alignment horizontal="center"/>
    </xf>
    <xf numFmtId="0" fontId="2" fillId="5" borderId="0" xfId="0" applyFont="1" applyFill="1" applyAlignment="1">
      <alignment horizontal="center"/>
    </xf>
    <xf numFmtId="2" fontId="0" fillId="0" borderId="0" xfId="0" applyNumberFormat="1"/>
    <xf numFmtId="0" fontId="5" fillId="5" borderId="0" xfId="0" applyFont="1" applyFill="1" applyAlignment="1">
      <alignment horizontal="center" vertical="distributed"/>
    </xf>
    <xf numFmtId="0" fontId="3" fillId="5" borderId="0" xfId="0" applyFont="1" applyFill="1" applyAlignment="1">
      <alignment horizontal="center" vertical="distributed"/>
    </xf>
    <xf numFmtId="0" fontId="2" fillId="5" borderId="0" xfId="0" applyFont="1" applyFill="1" applyAlignment="1">
      <alignment horizontal="center"/>
    </xf>
    <xf numFmtId="0" fontId="9" fillId="9" borderId="0" xfId="1" applyFont="1" applyFill="1" applyAlignment="1">
      <alignment horizontal="center" vertical="distributed"/>
    </xf>
    <xf numFmtId="0" fontId="9" fillId="10" borderId="0" xfId="1" applyFont="1" applyFill="1" applyAlignment="1">
      <alignment horizontal="center" vertical="distributed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 applyProtection="1"/>
    <xf numFmtId="0" fontId="1" fillId="5" borderId="0" xfId="0" applyFont="1" applyFill="1" applyAlignment="1" applyProtection="1">
      <alignment horizontal="center"/>
      <protection locked="0"/>
    </xf>
    <xf numFmtId="0" fontId="3" fillId="5" borderId="0" xfId="0" applyFont="1" applyFill="1" applyAlignment="1">
      <alignment horizontal="center"/>
    </xf>
    <xf numFmtId="0" fontId="2" fillId="3" borderId="0" xfId="0" applyFont="1" applyFill="1" applyAlignment="1">
      <alignment horizontal="justify" vertical="center"/>
    </xf>
    <xf numFmtId="0" fontId="9" fillId="9" borderId="0" xfId="1" applyFont="1" applyFill="1" applyAlignment="1">
      <alignment horizontal="center"/>
    </xf>
    <xf numFmtId="0" fontId="9" fillId="10" borderId="0" xfId="1" applyFont="1" applyFill="1" applyAlignment="1">
      <alignment horizontal="center"/>
    </xf>
    <xf numFmtId="0" fontId="0" fillId="6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3" fillId="5" borderId="0" xfId="0" applyFont="1" applyFill="1" applyAlignment="1" applyProtection="1">
      <alignment horizontal="center" vertical="distributed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40" fontId="0" fillId="0" borderId="0" xfId="0" applyNumberForma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</a:t>
            </a:r>
            <a:r>
              <a:rPr lang="sr-Latn-RS"/>
              <a:t>ash - Flow / Finansijski proračun</a:t>
            </a:r>
            <a:endParaRPr lang="en-US"/>
          </a:p>
        </c:rich>
      </c:tx>
      <c:layout>
        <c:manualLayout>
          <c:xMode val="edge"/>
          <c:yMode val="edge"/>
          <c:x val="0.15363380006683713"/>
          <c:y val="3.30033003300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FinaIndicators!$A$33</c:f>
              <c:strCache>
                <c:ptCount val="1"/>
                <c:pt idx="0">
                  <c:v>EBTDA diskontovano, kumulativno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FinaIndicators!$E$33:$Y$33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-1509005120"/>
        <c:axId val="-1509002944"/>
      </c:barChart>
      <c:lineChart>
        <c:grouping val="standard"/>
        <c:varyColors val="0"/>
        <c:ser>
          <c:idx val="0"/>
          <c:order val="0"/>
          <c:tx>
            <c:strRef>
              <c:f>FinaIndicators!$A$35</c:f>
              <c:strCache>
                <c:ptCount val="1"/>
                <c:pt idx="0">
                  <c:v>Graf - Troškovi diskontovani, kumul.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FinaIndicators!$E$3:$Y$3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FinaIndicators!$E$35:$Y$35</c:f>
              <c:numCache>
                <c:formatCode>#,##0.00</c:formatCode>
                <c:ptCount val="21"/>
                <c:pt idx="0">
                  <c:v>89000</c:v>
                </c:pt>
                <c:pt idx="1">
                  <c:v>95293.269230769234</c:v>
                </c:pt>
                <c:pt idx="2">
                  <c:v>101583.57938629281</c:v>
                </c:pt>
                <c:pt idx="3">
                  <c:v>107612.83245122807</c:v>
                </c:pt>
                <c:pt idx="4">
                  <c:v>113374.50199831028</c:v>
                </c:pt>
                <c:pt idx="5">
                  <c:v>118861.89843959313</c:v>
                </c:pt>
                <c:pt idx="6">
                  <c:v>124068.16494743165</c:v>
                </c:pt>
                <c:pt idx="7">
                  <c:v>128986.2732734897</c:v>
                </c:pt>
                <c:pt idx="8">
                  <c:v>133609.01946322279</c:v>
                </c:pt>
                <c:pt idx="9">
                  <c:v>137929.01946322279</c:v>
                </c:pt>
                <c:pt idx="10">
                  <c:v>142249.01946322279</c:v>
                </c:pt>
                <c:pt idx="11">
                  <c:v>146569.01946322279</c:v>
                </c:pt>
                <c:pt idx="12">
                  <c:v>150889.01946322279</c:v>
                </c:pt>
                <c:pt idx="13">
                  <c:v>155209.01946322279</c:v>
                </c:pt>
                <c:pt idx="14">
                  <c:v>159529.01946322279</c:v>
                </c:pt>
                <c:pt idx="15">
                  <c:v>163849.01946322279</c:v>
                </c:pt>
                <c:pt idx="16">
                  <c:v>168169.01946322279</c:v>
                </c:pt>
                <c:pt idx="17">
                  <c:v>172489.01946322279</c:v>
                </c:pt>
                <c:pt idx="18">
                  <c:v>176809.01946322279</c:v>
                </c:pt>
                <c:pt idx="19">
                  <c:v>181129.01946322279</c:v>
                </c:pt>
                <c:pt idx="20">
                  <c:v>185449.01946322279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FinaIndicators!$A$36</c:f>
              <c:strCache>
                <c:ptCount val="1"/>
                <c:pt idx="0">
                  <c:v>Graf - Prihodi diskontovani, kumul.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FinaIndicators!$E$36:$Y$36</c:f>
              <c:numCache>
                <c:formatCode>#,##0.00</c:formatCode>
                <c:ptCount val="21"/>
                <c:pt idx="1">
                  <c:v>21259.533608449099</c:v>
                </c:pt>
                <c:pt idx="2">
                  <c:v>43369.44856123616</c:v>
                </c:pt>
                <c:pt idx="3">
                  <c:v>65479.363514023222</c:v>
                </c:pt>
                <c:pt idx="4">
                  <c:v>87589.278466810283</c:v>
                </c:pt>
                <c:pt idx="5">
                  <c:v>109699.19341959734</c:v>
                </c:pt>
                <c:pt idx="6">
                  <c:v>131809.10837238442</c:v>
                </c:pt>
                <c:pt idx="7">
                  <c:v>153919.0233251715</c:v>
                </c:pt>
                <c:pt idx="8">
                  <c:v>176028.93827795857</c:v>
                </c:pt>
                <c:pt idx="9">
                  <c:v>198138.85323074565</c:v>
                </c:pt>
                <c:pt idx="10">
                  <c:v>220248.76818353272</c:v>
                </c:pt>
                <c:pt idx="11">
                  <c:v>242358.6831363198</c:v>
                </c:pt>
                <c:pt idx="12">
                  <c:v>264468.59808910685</c:v>
                </c:pt>
                <c:pt idx="13">
                  <c:v>286578.51304189389</c:v>
                </c:pt>
                <c:pt idx="14">
                  <c:v>308688.42799468094</c:v>
                </c:pt>
                <c:pt idx="15">
                  <c:v>330798.34294746799</c:v>
                </c:pt>
                <c:pt idx="16">
                  <c:v>352908.25790025503</c:v>
                </c:pt>
                <c:pt idx="17">
                  <c:v>375018.17285304208</c:v>
                </c:pt>
                <c:pt idx="18">
                  <c:v>397128.08780582913</c:v>
                </c:pt>
                <c:pt idx="19">
                  <c:v>419238.00275861617</c:v>
                </c:pt>
                <c:pt idx="20">
                  <c:v>441347.91771140322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-1509005120"/>
        <c:axId val="-1509002944"/>
      </c:lineChart>
      <c:catAx>
        <c:axId val="-1509005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r-Latn-RS"/>
                  <a:t>vremenski okvir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09002944"/>
        <c:crosses val="autoZero"/>
        <c:auto val="1"/>
        <c:lblAlgn val="ctr"/>
        <c:lblOffset val="100"/>
        <c:noMultiLvlLbl val="0"/>
      </c:catAx>
      <c:valAx>
        <c:axId val="-150900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r-Latn-RS"/>
                  <a:t>EUR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0900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</a:t>
            </a:r>
            <a:r>
              <a:rPr lang="sr-Latn-RS"/>
              <a:t>ash - Flow / Ekonomski proračun</a:t>
            </a:r>
            <a:endParaRPr lang="en-US"/>
          </a:p>
        </c:rich>
      </c:tx>
      <c:layout>
        <c:manualLayout>
          <c:xMode val="edge"/>
          <c:yMode val="edge"/>
          <c:x val="0.15363380006683713"/>
          <c:y val="3.30033003300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EconIndicators!$A$34</c:f>
              <c:strCache>
                <c:ptCount val="1"/>
                <c:pt idx="0">
                  <c:v>EBTDA diskontovano, kumulativno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EconIndicators!$E$3:$Y$3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EconIndicators!$E$34:$Y$34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-1509001312"/>
        <c:axId val="-1509009472"/>
      </c:barChart>
      <c:lineChart>
        <c:grouping val="standard"/>
        <c:varyColors val="0"/>
        <c:ser>
          <c:idx val="0"/>
          <c:order val="0"/>
          <c:tx>
            <c:strRef>
              <c:f>EconIndicators!$A$36</c:f>
              <c:strCache>
                <c:ptCount val="1"/>
                <c:pt idx="0">
                  <c:v>Graf - Troškovi diskontovani, kumul.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FinaIndicators!$E$3:$Y$3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EconIndicators!$E$36:$Y$36</c:f>
              <c:numCache>
                <c:formatCode>#,##0.00</c:formatCode>
                <c:ptCount val="21"/>
                <c:pt idx="0">
                  <c:v>89000</c:v>
                </c:pt>
                <c:pt idx="1">
                  <c:v>95293.269230769234</c:v>
                </c:pt>
                <c:pt idx="2">
                  <c:v>101583.57938629281</c:v>
                </c:pt>
                <c:pt idx="3">
                  <c:v>107612.83245122807</c:v>
                </c:pt>
                <c:pt idx="4">
                  <c:v>113374.50199831028</c:v>
                </c:pt>
                <c:pt idx="5">
                  <c:v>118861.89843959313</c:v>
                </c:pt>
                <c:pt idx="6">
                  <c:v>124068.16494743165</c:v>
                </c:pt>
                <c:pt idx="7">
                  <c:v>128986.2732734897</c:v>
                </c:pt>
                <c:pt idx="8">
                  <c:v>133609.01946322279</c:v>
                </c:pt>
                <c:pt idx="9">
                  <c:v>137929.01946322279</c:v>
                </c:pt>
                <c:pt idx="10">
                  <c:v>142249.01946322279</c:v>
                </c:pt>
                <c:pt idx="11">
                  <c:v>146569.01946322279</c:v>
                </c:pt>
                <c:pt idx="12">
                  <c:v>150889.01946322279</c:v>
                </c:pt>
                <c:pt idx="13">
                  <c:v>155209.01946322279</c:v>
                </c:pt>
                <c:pt idx="14">
                  <c:v>159529.01946322279</c:v>
                </c:pt>
                <c:pt idx="15">
                  <c:v>163849.01946322279</c:v>
                </c:pt>
                <c:pt idx="16">
                  <c:v>168169.01946322279</c:v>
                </c:pt>
                <c:pt idx="17">
                  <c:v>172489.01946322279</c:v>
                </c:pt>
                <c:pt idx="18">
                  <c:v>176809.01946322279</c:v>
                </c:pt>
                <c:pt idx="19">
                  <c:v>181129.01946322279</c:v>
                </c:pt>
                <c:pt idx="20">
                  <c:v>185449.01946322279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EconIndicators!$A$37</c:f>
              <c:strCache>
                <c:ptCount val="1"/>
                <c:pt idx="0">
                  <c:v>Graf - Prihodi, diskontovani, kumul.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EconIndicators!$E$37:$Y$37</c:f>
              <c:numCache>
                <c:formatCode>#,##0.00</c:formatCode>
                <c:ptCount val="21"/>
                <c:pt idx="1">
                  <c:v>25025.797314049101</c:v>
                </c:pt>
                <c:pt idx="2">
                  <c:v>51052.626520660167</c:v>
                </c:pt>
                <c:pt idx="3">
                  <c:v>77079.455727271241</c:v>
                </c:pt>
                <c:pt idx="4">
                  <c:v>103106.2849338823</c:v>
                </c:pt>
                <c:pt idx="5">
                  <c:v>129133.11414049336</c:v>
                </c:pt>
                <c:pt idx="6">
                  <c:v>155159.94334710442</c:v>
                </c:pt>
                <c:pt idx="7">
                  <c:v>181186.77255371548</c:v>
                </c:pt>
                <c:pt idx="8">
                  <c:v>207213.60176032654</c:v>
                </c:pt>
                <c:pt idx="9">
                  <c:v>233240.43096693759</c:v>
                </c:pt>
                <c:pt idx="10">
                  <c:v>259267.26017354865</c:v>
                </c:pt>
                <c:pt idx="11">
                  <c:v>285294.08938015974</c:v>
                </c:pt>
                <c:pt idx="12">
                  <c:v>311320.91858677083</c:v>
                </c:pt>
                <c:pt idx="13">
                  <c:v>337347.74779338192</c:v>
                </c:pt>
                <c:pt idx="14">
                  <c:v>363374.57699999301</c:v>
                </c:pt>
                <c:pt idx="15">
                  <c:v>389401.40620660409</c:v>
                </c:pt>
                <c:pt idx="16">
                  <c:v>415428.23541321518</c:v>
                </c:pt>
                <c:pt idx="17">
                  <c:v>441455.06461982627</c:v>
                </c:pt>
                <c:pt idx="18">
                  <c:v>467481.89382643736</c:v>
                </c:pt>
                <c:pt idx="19">
                  <c:v>493508.72303304845</c:v>
                </c:pt>
                <c:pt idx="20">
                  <c:v>519535.55223965953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-1509001312"/>
        <c:axId val="-1509009472"/>
      </c:lineChart>
      <c:catAx>
        <c:axId val="-1509001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r-Latn-RS"/>
                  <a:t>vremenski</a:t>
                </a:r>
                <a:r>
                  <a:rPr lang="sr-Latn-RS" baseline="0"/>
                  <a:t> okvir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09009472"/>
        <c:crosses val="autoZero"/>
        <c:auto val="1"/>
        <c:lblAlgn val="ctr"/>
        <c:lblOffset val="100"/>
        <c:noMultiLvlLbl val="0"/>
      </c:catAx>
      <c:valAx>
        <c:axId val="-150900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r-Latn-RS"/>
                  <a:t>EUR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0900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sr-Latn-RS"/>
              <a:t>LCoEE - ANALIZA OSETLJIVOSTI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Bez izmena</c:v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SALCoEE!$E$3:$I$3</c:f>
              <c:numCache>
                <c:formatCode>0.00%</c:formatCode>
                <c:ptCount val="5"/>
                <c:pt idx="0">
                  <c:v>-0.1</c:v>
                </c:pt>
                <c:pt idx="1">
                  <c:v>-0.05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</c:numCache>
            </c:numRef>
          </c:cat>
          <c:val>
            <c:numRef>
              <c:f>SALCoEE!$E$4:$I$4</c:f>
              <c:numCache>
                <c:formatCode>#,##0.00</c:formatCode>
                <c:ptCount val="5"/>
                <c:pt idx="0">
                  <c:v>57.05</c:v>
                </c:pt>
                <c:pt idx="1">
                  <c:v>57.05</c:v>
                </c:pt>
                <c:pt idx="2">
                  <c:v>57.05</c:v>
                </c:pt>
                <c:pt idx="3">
                  <c:v>57.05</c:v>
                </c:pt>
                <c:pt idx="4">
                  <c:v>57.05</c:v>
                </c:pt>
              </c:numCache>
            </c:numRef>
          </c:val>
          <c:smooth val="0"/>
        </c:ser>
        <c:ser>
          <c:idx val="1"/>
          <c:order val="1"/>
          <c:tx>
            <c:v>Investicioni troškovi</c:v>
          </c:tx>
          <c:spPr>
            <a:ln w="34925" cap="rnd">
              <a:solidFill>
                <a:srgbClr val="C0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SALCoEE!$E$3:$I$3</c:f>
              <c:numCache>
                <c:formatCode>0.00%</c:formatCode>
                <c:ptCount val="5"/>
                <c:pt idx="0">
                  <c:v>-0.1</c:v>
                </c:pt>
                <c:pt idx="1">
                  <c:v>-0.05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</c:numCache>
            </c:numRef>
          </c:cat>
          <c:val>
            <c:numRef>
              <c:f>SALCoEE!$E$5:$I$5</c:f>
              <c:numCache>
                <c:formatCode>#,##0.00</c:formatCode>
                <c:ptCount val="5"/>
                <c:pt idx="0">
                  <c:v>51.23</c:v>
                </c:pt>
                <c:pt idx="1">
                  <c:v>54.14</c:v>
                </c:pt>
                <c:pt idx="2">
                  <c:v>57.05</c:v>
                </c:pt>
                <c:pt idx="3">
                  <c:v>59.96</c:v>
                </c:pt>
                <c:pt idx="4">
                  <c:v>62.87</c:v>
                </c:pt>
              </c:numCache>
            </c:numRef>
          </c:val>
          <c:smooth val="0"/>
        </c:ser>
        <c:ser>
          <c:idx val="2"/>
          <c:order val="2"/>
          <c:tx>
            <c:v>Operativni troškovi i održavanje</c:v>
          </c:tx>
          <c:spPr>
            <a:ln w="34925" cap="rnd">
              <a:solidFill>
                <a:srgbClr val="92D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SALCoEE!$E$3:$I$3</c:f>
              <c:numCache>
                <c:formatCode>0.00%</c:formatCode>
                <c:ptCount val="5"/>
                <c:pt idx="0">
                  <c:v>-0.1</c:v>
                </c:pt>
                <c:pt idx="1">
                  <c:v>-0.05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</c:numCache>
            </c:numRef>
          </c:cat>
          <c:val>
            <c:numRef>
              <c:f>SALCoEE!$E$6:$I$6</c:f>
              <c:numCache>
                <c:formatCode>#,##0.00</c:formatCode>
                <c:ptCount val="5"/>
                <c:pt idx="0">
                  <c:v>54.21</c:v>
                </c:pt>
                <c:pt idx="1">
                  <c:v>55.63</c:v>
                </c:pt>
                <c:pt idx="2">
                  <c:v>57.05</c:v>
                </c:pt>
                <c:pt idx="3">
                  <c:v>58.47</c:v>
                </c:pt>
                <c:pt idx="4">
                  <c:v>59.89</c:v>
                </c:pt>
              </c:numCache>
            </c:numRef>
          </c:val>
          <c:smooth val="0"/>
        </c:ser>
        <c:ser>
          <c:idx val="3"/>
          <c:order val="3"/>
          <c:tx>
            <c:v>Uštede energije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SALCoEE!$E$3:$I$3</c:f>
              <c:numCache>
                <c:formatCode>0.00%</c:formatCode>
                <c:ptCount val="5"/>
                <c:pt idx="0">
                  <c:v>-0.1</c:v>
                </c:pt>
                <c:pt idx="1">
                  <c:v>-0.05</c:v>
                </c:pt>
                <c:pt idx="2">
                  <c:v>0</c:v>
                </c:pt>
                <c:pt idx="3">
                  <c:v>0.05</c:v>
                </c:pt>
                <c:pt idx="4">
                  <c:v>0.1</c:v>
                </c:pt>
              </c:numCache>
            </c:numRef>
          </c:cat>
          <c:val>
            <c:numRef>
              <c:f>SALCoEE!$E$7:$I$7</c:f>
              <c:numCache>
                <c:formatCode>#,##0.00</c:formatCode>
                <c:ptCount val="5"/>
                <c:pt idx="0">
                  <c:v>63.39</c:v>
                </c:pt>
                <c:pt idx="1">
                  <c:v>60.05</c:v>
                </c:pt>
                <c:pt idx="2">
                  <c:v>57.05</c:v>
                </c:pt>
                <c:pt idx="3">
                  <c:v>54.33</c:v>
                </c:pt>
                <c:pt idx="4">
                  <c:v>51.86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15504032"/>
        <c:axId val="-1515516000"/>
      </c:lineChart>
      <c:catAx>
        <c:axId val="-1515504032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15516000"/>
        <c:crosses val="autoZero"/>
        <c:auto val="1"/>
        <c:lblAlgn val="ctr"/>
        <c:lblOffset val="100"/>
        <c:noMultiLvlLbl val="0"/>
      </c:catAx>
      <c:valAx>
        <c:axId val="-1515516000"/>
        <c:scaling>
          <c:orientation val="minMax"/>
          <c:min val="44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15504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rgbClr val="002060"/>
      </a:solidFill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</a:t>
            </a:r>
            <a:r>
              <a:rPr lang="sr-Latn-RS"/>
              <a:t>ash - Flow / DHC Korist ako ESCO investira</a:t>
            </a:r>
            <a:endParaRPr lang="en-US"/>
          </a:p>
        </c:rich>
      </c:tx>
      <c:layout>
        <c:manualLayout>
          <c:xMode val="edge"/>
          <c:yMode val="edge"/>
          <c:x val="0.15363380006683713"/>
          <c:y val="3.30033003300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-1515511648"/>
        <c:axId val="-1515511104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[2]FinaIndikatori!$A$37</c15:sqref>
                        </c15:formulaRef>
                      </c:ext>
                    </c:extLst>
                    <c:strCache>
                      <c:ptCount val="1"/>
                      <c:pt idx="0">
                        <c:v>EBTDA diskontovano, kumulativno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3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3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[2]FinaIndikatori!$E$37:$Y$37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1">
                        <c:v>-127314.3846725547</c:v>
                      </c:pt>
                      <c:pt idx="2">
                        <c:v>-105377.81555243285</c:v>
                      </c:pt>
                      <c:pt idx="3">
                        <c:v>-83007.129023242771</c:v>
                      </c:pt>
                      <c:pt idx="4">
                        <c:v>-60191.472149757727</c:v>
                      </c:pt>
                      <c:pt idx="5">
                        <c:v>-36919.720673370408</c:v>
                      </c:pt>
                      <c:pt idx="6">
                        <c:v>-13180.472229008214</c:v>
                      </c:pt>
                      <c:pt idx="7">
                        <c:v>11037.960607528221</c:v>
                      </c:pt>
                      <c:pt idx="8">
                        <c:v>35747.55744604324</c:v>
                      </c:pt>
                      <c:pt idx="9">
                        <c:v>60960.597386586305</c:v>
                      </c:pt>
                      <c:pt idx="10">
                        <c:v>86173.637327129371</c:v>
                      </c:pt>
                      <c:pt idx="11">
                        <c:v>111386.67726767249</c:v>
                      </c:pt>
                      <c:pt idx="12">
                        <c:v>136599.71720821562</c:v>
                      </c:pt>
                      <c:pt idx="13">
                        <c:v>161812.75714875874</c:v>
                      </c:pt>
                      <c:pt idx="14">
                        <c:v>187025.79708930186</c:v>
                      </c:pt>
                      <c:pt idx="15">
                        <c:v>212238.83702984499</c:v>
                      </c:pt>
                      <c:pt idx="16">
                        <c:v>237451.87697038811</c:v>
                      </c:pt>
                      <c:pt idx="17">
                        <c:v>262664.91691093124</c:v>
                      </c:pt>
                      <c:pt idx="18">
                        <c:v>287877.95685147436</c:v>
                      </c:pt>
                      <c:pt idx="19">
                        <c:v>313090.99679201748</c:v>
                      </c:pt>
                      <c:pt idx="20">
                        <c:v>338304.03673256061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v>Korist kompanije za daljinsko grejanje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AkoESCO!$F$7:$Y$7</c:f>
              <c:numCache>
                <c:formatCode>#,##0.00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-1515511648"/>
        <c:axId val="-151551110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[2]FinaIndikatori!$A$39</c15:sqref>
                        </c15:formulaRef>
                      </c:ext>
                    </c:extLst>
                    <c:strCache>
                      <c:ptCount val="1"/>
                      <c:pt idx="0">
                        <c:v>Graf - Troškovi diskontovano kumul.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[2]FinaIndikatori!$E$3:$Y$3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0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  <c:pt idx="13">
                        <c:v>13</c:v>
                      </c:pt>
                      <c:pt idx="14">
                        <c:v>14</c:v>
                      </c:pt>
                      <c:pt idx="15">
                        <c:v>15</c:v>
                      </c:pt>
                      <c:pt idx="16">
                        <c:v>16</c:v>
                      </c:pt>
                      <c:pt idx="17">
                        <c:v>17</c:v>
                      </c:pt>
                      <c:pt idx="18">
                        <c:v>18</c:v>
                      </c:pt>
                      <c:pt idx="19">
                        <c:v>19</c:v>
                      </c:pt>
                      <c:pt idx="20">
                        <c:v>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[2]FinaIndikatori!$E$39:$Y$39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148000</c:v>
                      </c:pt>
                      <c:pt idx="1">
                        <c:v>187180.87299191946</c:v>
                      </c:pt>
                      <c:pt idx="2">
                        <c:v>227505.45172393695</c:v>
                      </c:pt>
                      <c:pt idx="3">
                        <c:v>267395.91304688621</c:v>
                      </c:pt>
                      <c:pt idx="4">
                        <c:v>306841.40402554051</c:v>
                      </c:pt>
                      <c:pt idx="5">
                        <c:v>345830.80040129251</c:v>
                      </c:pt>
                      <c:pt idx="6">
                        <c:v>384352.69980906963</c:v>
                      </c:pt>
                      <c:pt idx="7">
                        <c:v>422395.41482467251</c:v>
                      </c:pt>
                      <c:pt idx="8">
                        <c:v>459946.9658382968</c:v>
                      </c:pt>
                      <c:pt idx="9">
                        <c:v>496995.07374989305</c:v>
                      </c:pt>
                      <c:pt idx="10">
                        <c:v>534043.1816614893</c:v>
                      </c:pt>
                      <c:pt idx="11">
                        <c:v>571091.28957308549</c:v>
                      </c:pt>
                      <c:pt idx="12">
                        <c:v>608139.39748468169</c:v>
                      </c:pt>
                      <c:pt idx="13">
                        <c:v>645187.50539627788</c:v>
                      </c:pt>
                      <c:pt idx="14">
                        <c:v>682235.61330787407</c:v>
                      </c:pt>
                      <c:pt idx="15">
                        <c:v>719283.72121947026</c:v>
                      </c:pt>
                      <c:pt idx="16">
                        <c:v>756331.82913106645</c:v>
                      </c:pt>
                      <c:pt idx="17">
                        <c:v>793379.93704266264</c:v>
                      </c:pt>
                      <c:pt idx="18">
                        <c:v>830428.04495425883</c:v>
                      </c:pt>
                      <c:pt idx="19">
                        <c:v>867476.15286585502</c:v>
                      </c:pt>
                      <c:pt idx="20">
                        <c:v>904524.26077745121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[2]FinaIndikatori!$A$40</c15:sqref>
                        </c15:formulaRef>
                      </c:ext>
                    </c:extLst>
                    <c:strCache>
                      <c:ptCount val="1"/>
                      <c:pt idx="0">
                        <c:v>Graf - Prihodi diskontovano kumul.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[2]FinaIndikatori!$E$40:$Y$40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1">
                        <c:v>59866.488319364747</c:v>
                      </c:pt>
                      <c:pt idx="2">
                        <c:v>122127.6361715041</c:v>
                      </c:pt>
                      <c:pt idx="3">
                        <c:v>184388.78402364344</c:v>
                      </c:pt>
                      <c:pt idx="4">
                        <c:v>246649.93187578279</c:v>
                      </c:pt>
                      <c:pt idx="5">
                        <c:v>308911.0797279221</c:v>
                      </c:pt>
                      <c:pt idx="6">
                        <c:v>371172.22758006142</c:v>
                      </c:pt>
                      <c:pt idx="7">
                        <c:v>433433.37543220073</c:v>
                      </c:pt>
                      <c:pt idx="8">
                        <c:v>495694.52328434004</c:v>
                      </c:pt>
                      <c:pt idx="9">
                        <c:v>557955.67113647936</c:v>
                      </c:pt>
                      <c:pt idx="10">
                        <c:v>620216.81898861867</c:v>
                      </c:pt>
                      <c:pt idx="11">
                        <c:v>682477.96684075799</c:v>
                      </c:pt>
                      <c:pt idx="12">
                        <c:v>744739.1146928973</c:v>
                      </c:pt>
                      <c:pt idx="13">
                        <c:v>807000.26254503662</c:v>
                      </c:pt>
                      <c:pt idx="14">
                        <c:v>869261.41039717593</c:v>
                      </c:pt>
                      <c:pt idx="15">
                        <c:v>931522.55824931525</c:v>
                      </c:pt>
                      <c:pt idx="16">
                        <c:v>993783.70610145456</c:v>
                      </c:pt>
                      <c:pt idx="17">
                        <c:v>1056044.8539535939</c:v>
                      </c:pt>
                      <c:pt idx="18">
                        <c:v>1118306.0018057332</c:v>
                      </c:pt>
                      <c:pt idx="19">
                        <c:v>1180567.1496578725</c:v>
                      </c:pt>
                      <c:pt idx="20">
                        <c:v>1242828.2975100118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-1515511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r-Latn-RS"/>
                  <a:t>VREmenski</a:t>
                </a:r>
                <a:r>
                  <a:rPr lang="sr-Latn-RS" baseline="0"/>
                  <a:t> okvir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15511104"/>
        <c:crosses val="autoZero"/>
        <c:auto val="1"/>
        <c:lblAlgn val="ctr"/>
        <c:lblOffset val="100"/>
        <c:noMultiLvlLbl val="0"/>
      </c:catAx>
      <c:valAx>
        <c:axId val="-151551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r-Latn-RS"/>
                  <a:t>eur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155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ocetna!B2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ocetna!B2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Pocetna!B2"/><Relationship Id="rId1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ocetna!B2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ocetna!B2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ocetna!B2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ocetna!B2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ocetna!B2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Pocetna!B2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Pocetna!B2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Pocetna!B2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Pocetna!B2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390525</xdr:colOff>
      <xdr:row>6</xdr:row>
      <xdr:rowOff>133350</xdr:rowOff>
    </xdr:from>
    <xdr:to>
      <xdr:col>15</xdr:col>
      <xdr:colOff>219075</xdr:colOff>
      <xdr:row>8</xdr:row>
      <xdr:rowOff>142528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87075" y="1276350"/>
          <a:ext cx="438150" cy="39017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85725</xdr:colOff>
      <xdr:row>0</xdr:row>
      <xdr:rowOff>104775</xdr:rowOff>
    </xdr:from>
    <xdr:to>
      <xdr:col>11</xdr:col>
      <xdr:colOff>523875</xdr:colOff>
      <xdr:row>2</xdr:row>
      <xdr:rowOff>66328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3250" y="104775"/>
          <a:ext cx="438150" cy="39017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9525</xdr:rowOff>
    </xdr:from>
    <xdr:to>
      <xdr:col>16</xdr:col>
      <xdr:colOff>561975</xdr:colOff>
      <xdr:row>23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95250</xdr:colOff>
      <xdr:row>3</xdr:row>
      <xdr:rowOff>161925</xdr:rowOff>
    </xdr:from>
    <xdr:to>
      <xdr:col>2</xdr:col>
      <xdr:colOff>533400</xdr:colOff>
      <xdr:row>5</xdr:row>
      <xdr:rowOff>171103</xdr:rowOff>
    </xdr:to>
    <xdr:pic>
      <xdr:nvPicPr>
        <xdr:cNvPr id="5" name="Picture 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14450" y="733425"/>
          <a:ext cx="438150" cy="39017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13</xdr:row>
      <xdr:rowOff>0</xdr:rowOff>
    </xdr:from>
    <xdr:to>
      <xdr:col>3</xdr:col>
      <xdr:colOff>533400</xdr:colOff>
      <xdr:row>15</xdr:row>
      <xdr:rowOff>9178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24050" y="2476500"/>
          <a:ext cx="438150" cy="3901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104775</xdr:colOff>
      <xdr:row>6</xdr:row>
      <xdr:rowOff>47625</xdr:rowOff>
    </xdr:from>
    <xdr:to>
      <xdr:col>13</xdr:col>
      <xdr:colOff>542925</xdr:colOff>
      <xdr:row>7</xdr:row>
      <xdr:rowOff>218728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63175" y="1266825"/>
          <a:ext cx="438150" cy="3901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104775</xdr:colOff>
      <xdr:row>6</xdr:row>
      <xdr:rowOff>57150</xdr:rowOff>
    </xdr:from>
    <xdr:to>
      <xdr:col>10</xdr:col>
      <xdr:colOff>542925</xdr:colOff>
      <xdr:row>8</xdr:row>
      <xdr:rowOff>66328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10725" y="1276350"/>
          <a:ext cx="438150" cy="3901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178584</xdr:colOff>
      <xdr:row>0</xdr:row>
      <xdr:rowOff>0</xdr:rowOff>
    </xdr:from>
    <xdr:to>
      <xdr:col>11</xdr:col>
      <xdr:colOff>616734</xdr:colOff>
      <xdr:row>1</xdr:row>
      <xdr:rowOff>128240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65334" y="0"/>
          <a:ext cx="438150" cy="3901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178588</xdr:colOff>
      <xdr:row>0</xdr:row>
      <xdr:rowOff>0</xdr:rowOff>
    </xdr:from>
    <xdr:to>
      <xdr:col>11</xdr:col>
      <xdr:colOff>616738</xdr:colOff>
      <xdr:row>1</xdr:row>
      <xdr:rowOff>128240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494" y="0"/>
          <a:ext cx="438150" cy="39017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1</xdr:row>
      <xdr:rowOff>9525</xdr:rowOff>
    </xdr:from>
    <xdr:to>
      <xdr:col>15</xdr:col>
      <xdr:colOff>495300</xdr:colOff>
      <xdr:row>21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390525</xdr:colOff>
      <xdr:row>6</xdr:row>
      <xdr:rowOff>76200</xdr:rowOff>
    </xdr:from>
    <xdr:to>
      <xdr:col>2</xdr:col>
      <xdr:colOff>219075</xdr:colOff>
      <xdr:row>8</xdr:row>
      <xdr:rowOff>85378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0125" y="1219200"/>
          <a:ext cx="438150" cy="3901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1</xdr:row>
      <xdr:rowOff>9525</xdr:rowOff>
    </xdr:from>
    <xdr:to>
      <xdr:col>15</xdr:col>
      <xdr:colOff>495300</xdr:colOff>
      <xdr:row>21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390525</xdr:colOff>
      <xdr:row>6</xdr:row>
      <xdr:rowOff>47625</xdr:rowOff>
    </xdr:from>
    <xdr:to>
      <xdr:col>2</xdr:col>
      <xdr:colOff>219075</xdr:colOff>
      <xdr:row>8</xdr:row>
      <xdr:rowOff>56803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0125" y="1190625"/>
          <a:ext cx="438150" cy="39017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85725</xdr:colOff>
      <xdr:row>0</xdr:row>
      <xdr:rowOff>114300</xdr:rowOff>
    </xdr:from>
    <xdr:to>
      <xdr:col>11</xdr:col>
      <xdr:colOff>523875</xdr:colOff>
      <xdr:row>2</xdr:row>
      <xdr:rowOff>75853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77050" y="114300"/>
          <a:ext cx="438150" cy="39017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600074</xdr:colOff>
      <xdr:row>0</xdr:row>
      <xdr:rowOff>261937</xdr:rowOff>
    </xdr:from>
    <xdr:to>
      <xdr:col>19</xdr:col>
      <xdr:colOff>590549</xdr:colOff>
      <xdr:row>21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95250</xdr:colOff>
      <xdr:row>9</xdr:row>
      <xdr:rowOff>9525</xdr:rowOff>
    </xdr:from>
    <xdr:to>
      <xdr:col>2</xdr:col>
      <xdr:colOff>533400</xdr:colOff>
      <xdr:row>11</xdr:row>
      <xdr:rowOff>18703</xdr:rowOff>
    </xdr:to>
    <xdr:pic>
      <xdr:nvPicPr>
        <xdr:cNvPr id="4" name="Picture 3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14450" y="1876425"/>
          <a:ext cx="438150" cy="3901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misioni%20fakt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%20disc/Firma/Novi%20list/3EI%20USAID%202021%20-%202025/Realizacija%20projekta/T1-1-2%20and%20T1-1-3/Task%201-1-3/Toolkit/Tools/RAZVOJNI%20DIREKTORIJUM/Alati%20sa%20istim%20baznim%20podacima/Biomass%20boiler%20SRB%20unapredjeno%2019-7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vFaktor"/>
      <sheetName val="Goriva"/>
    </sheetNames>
    <sheetDataSet>
      <sheetData sheetId="0">
        <row r="16">
          <cell r="E16">
            <v>0.32857142857142857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cetna"/>
      <sheetName val="PomTab1"/>
      <sheetName val="UnosPodataka"/>
      <sheetName val="TrosakEnergije"/>
      <sheetName val="Anuiteti"/>
      <sheetName val="FinaIndikatori"/>
      <sheetName val="EkonIndikatori"/>
      <sheetName val="GrafFina"/>
      <sheetName val="GrafEkon"/>
      <sheetName val="LCoEE"/>
      <sheetName val="SALCoEE"/>
      <sheetName val="AkoESCO"/>
      <sheetName val="ESCOGrafFina"/>
      <sheetName val="REZIME"/>
    </sheetNames>
    <sheetDataSet>
      <sheetData sheetId="0"/>
      <sheetData sheetId="1"/>
      <sheetData sheetId="2"/>
      <sheetData sheetId="3"/>
      <sheetData sheetId="4"/>
      <sheetData sheetId="5">
        <row r="3">
          <cell r="E3">
            <v>0</v>
          </cell>
          <cell r="F3">
            <v>1</v>
          </cell>
          <cell r="G3">
            <v>2</v>
          </cell>
          <cell r="H3">
            <v>3</v>
          </cell>
          <cell r="I3">
            <v>4</v>
          </cell>
          <cell r="J3">
            <v>5</v>
          </cell>
          <cell r="K3">
            <v>6</v>
          </cell>
          <cell r="L3">
            <v>7</v>
          </cell>
          <cell r="M3">
            <v>8</v>
          </cell>
          <cell r="N3">
            <v>9</v>
          </cell>
          <cell r="O3">
            <v>10</v>
          </cell>
          <cell r="P3">
            <v>11</v>
          </cell>
          <cell r="Q3">
            <v>12</v>
          </cell>
          <cell r="R3">
            <v>13</v>
          </cell>
          <cell r="S3">
            <v>14</v>
          </cell>
          <cell r="T3">
            <v>15</v>
          </cell>
          <cell r="U3">
            <v>16</v>
          </cell>
          <cell r="V3">
            <v>17</v>
          </cell>
          <cell r="W3">
            <v>18</v>
          </cell>
          <cell r="X3">
            <v>19</v>
          </cell>
          <cell r="Y3">
            <v>20</v>
          </cell>
        </row>
        <row r="37">
          <cell r="A37" t="str">
            <v>EBTDA diskontovano, kumulativno</v>
          </cell>
          <cell r="F37">
            <v>-127314.3846725547</v>
          </cell>
          <cell r="G37">
            <v>-105377.81555243285</v>
          </cell>
          <cell r="H37">
            <v>-83007.129023242771</v>
          </cell>
          <cell r="I37">
            <v>-60191.472149757727</v>
          </cell>
          <cell r="J37">
            <v>-36919.720673370408</v>
          </cell>
          <cell r="K37">
            <v>-13180.472229008214</v>
          </cell>
          <cell r="L37">
            <v>11037.960607528221</v>
          </cell>
          <cell r="M37">
            <v>35747.55744604324</v>
          </cell>
          <cell r="N37">
            <v>60960.597386586305</v>
          </cell>
          <cell r="O37">
            <v>86173.637327129371</v>
          </cell>
          <cell r="P37">
            <v>111386.67726767249</v>
          </cell>
          <cell r="Q37">
            <v>136599.71720821562</v>
          </cell>
          <cell r="R37">
            <v>161812.75714875874</v>
          </cell>
          <cell r="S37">
            <v>187025.79708930186</v>
          </cell>
          <cell r="T37">
            <v>212238.83702984499</v>
          </cell>
          <cell r="U37">
            <v>237451.87697038811</v>
          </cell>
          <cell r="V37">
            <v>262664.91691093124</v>
          </cell>
          <cell r="W37">
            <v>287877.95685147436</v>
          </cell>
          <cell r="X37">
            <v>313090.99679201748</v>
          </cell>
          <cell r="Y37">
            <v>338304.03673256061</v>
          </cell>
        </row>
        <row r="39">
          <cell r="A39" t="str">
            <v>Graf - Troškovi diskontovano kumul.</v>
          </cell>
          <cell r="E39">
            <v>148000</v>
          </cell>
          <cell r="F39">
            <v>187180.87299191946</v>
          </cell>
          <cell r="G39">
            <v>227505.45172393695</v>
          </cell>
          <cell r="H39">
            <v>267395.91304688621</v>
          </cell>
          <cell r="I39">
            <v>306841.40402554051</v>
          </cell>
          <cell r="J39">
            <v>345830.80040129251</v>
          </cell>
          <cell r="K39">
            <v>384352.69980906963</v>
          </cell>
          <cell r="L39">
            <v>422395.41482467251</v>
          </cell>
          <cell r="M39">
            <v>459946.9658382968</v>
          </cell>
          <cell r="N39">
            <v>496995.07374989305</v>
          </cell>
          <cell r="O39">
            <v>534043.1816614893</v>
          </cell>
          <cell r="P39">
            <v>571091.28957308549</v>
          </cell>
          <cell r="Q39">
            <v>608139.39748468169</v>
          </cell>
          <cell r="R39">
            <v>645187.50539627788</v>
          </cell>
          <cell r="S39">
            <v>682235.61330787407</v>
          </cell>
          <cell r="T39">
            <v>719283.72121947026</v>
          </cell>
          <cell r="U39">
            <v>756331.82913106645</v>
          </cell>
          <cell r="V39">
            <v>793379.93704266264</v>
          </cell>
          <cell r="W39">
            <v>830428.04495425883</v>
          </cell>
          <cell r="X39">
            <v>867476.15286585502</v>
          </cell>
          <cell r="Y39">
            <v>904524.26077745121</v>
          </cell>
        </row>
        <row r="40">
          <cell r="A40" t="str">
            <v>Graf - Prihodi diskontovano kumul.</v>
          </cell>
          <cell r="F40">
            <v>59866.488319364747</v>
          </cell>
          <cell r="G40">
            <v>122127.6361715041</v>
          </cell>
          <cell r="H40">
            <v>184388.78402364344</v>
          </cell>
          <cell r="I40">
            <v>246649.93187578279</v>
          </cell>
          <cell r="J40">
            <v>308911.0797279221</v>
          </cell>
          <cell r="K40">
            <v>371172.22758006142</v>
          </cell>
          <cell r="L40">
            <v>433433.37543220073</v>
          </cell>
          <cell r="M40">
            <v>495694.52328434004</v>
          </cell>
          <cell r="N40">
            <v>557955.67113647936</v>
          </cell>
          <cell r="O40">
            <v>620216.81898861867</v>
          </cell>
          <cell r="P40">
            <v>682477.96684075799</v>
          </cell>
          <cell r="Q40">
            <v>744739.1146928973</v>
          </cell>
          <cell r="R40">
            <v>807000.26254503662</v>
          </cell>
          <cell r="S40">
            <v>869261.41039717593</v>
          </cell>
          <cell r="T40">
            <v>931522.55824931525</v>
          </cell>
          <cell r="U40">
            <v>993783.70610145456</v>
          </cell>
          <cell r="V40">
            <v>1056044.8539535939</v>
          </cell>
          <cell r="W40">
            <v>1118306.0018057332</v>
          </cell>
          <cell r="X40">
            <v>1180567.1496578725</v>
          </cell>
          <cell r="Y40">
            <v>1242828.2975100118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PROJEKAT%20-%20POCETNA%20STRANA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R19"/>
  <sheetViews>
    <sheetView tabSelected="1" workbookViewId="0">
      <selection activeCell="B2" sqref="B2:K19"/>
    </sheetView>
  </sheetViews>
  <sheetFormatPr defaultRowHeight="15" x14ac:dyDescent="0.25"/>
  <sheetData>
    <row r="2" spans="2:18" x14ac:dyDescent="0.25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</row>
    <row r="3" spans="2:18" x14ac:dyDescent="0.25"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2:18" x14ac:dyDescent="0.25">
      <c r="B4" s="52"/>
      <c r="C4" s="52"/>
      <c r="D4" s="52"/>
      <c r="E4" s="52"/>
      <c r="F4" s="52"/>
      <c r="G4" s="52"/>
      <c r="H4" s="52"/>
      <c r="I4" s="52"/>
      <c r="J4" s="52"/>
      <c r="K4" s="52"/>
      <c r="M4" s="53" t="s">
        <v>2</v>
      </c>
      <c r="N4" s="53"/>
      <c r="O4" s="53"/>
      <c r="P4" s="53"/>
      <c r="Q4" s="53"/>
      <c r="R4" s="53"/>
    </row>
    <row r="5" spans="2:18" x14ac:dyDescent="0.25">
      <c r="B5" s="52"/>
      <c r="C5" s="52"/>
      <c r="D5" s="52"/>
      <c r="E5" s="52"/>
      <c r="F5" s="52"/>
      <c r="G5" s="52"/>
      <c r="H5" s="52"/>
      <c r="I5" s="52"/>
      <c r="J5" s="52"/>
      <c r="K5" s="52"/>
      <c r="M5" s="53"/>
      <c r="N5" s="53"/>
      <c r="O5" s="53"/>
      <c r="P5" s="53"/>
      <c r="Q5" s="53"/>
      <c r="R5" s="53"/>
    </row>
    <row r="6" spans="2:18" x14ac:dyDescent="0.25"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2:18" x14ac:dyDescent="0.25">
      <c r="B7" s="52"/>
      <c r="C7" s="52"/>
      <c r="D7" s="52"/>
      <c r="E7" s="52"/>
      <c r="F7" s="52"/>
      <c r="G7" s="52"/>
      <c r="H7" s="52"/>
      <c r="I7" s="52"/>
      <c r="J7" s="52"/>
      <c r="K7" s="52"/>
      <c r="M7" s="54" t="s">
        <v>44</v>
      </c>
      <c r="N7" s="54"/>
      <c r="O7" s="54"/>
      <c r="P7" s="54"/>
      <c r="Q7" s="54"/>
      <c r="R7" s="54"/>
    </row>
    <row r="8" spans="2:18" x14ac:dyDescent="0.25"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2:18" x14ac:dyDescent="0.25">
      <c r="B9" s="52"/>
      <c r="C9" s="52"/>
      <c r="D9" s="52"/>
      <c r="E9" s="52"/>
      <c r="F9" s="52"/>
      <c r="G9" s="52"/>
      <c r="H9" s="52"/>
      <c r="I9" s="52"/>
      <c r="J9" s="52"/>
      <c r="K9" s="52"/>
      <c r="M9" s="55" t="s">
        <v>160</v>
      </c>
      <c r="N9" s="55"/>
      <c r="Q9" s="56" t="s">
        <v>161</v>
      </c>
      <c r="R9" s="56"/>
    </row>
    <row r="10" spans="2:18" x14ac:dyDescent="0.25">
      <c r="B10" s="52"/>
      <c r="C10" s="52"/>
      <c r="D10" s="52"/>
      <c r="E10" s="52"/>
      <c r="F10" s="52"/>
      <c r="G10" s="52"/>
      <c r="H10" s="52"/>
      <c r="I10" s="52"/>
      <c r="J10" s="52"/>
      <c r="K10" s="52"/>
      <c r="M10" s="55"/>
      <c r="N10" s="55"/>
      <c r="Q10" s="56"/>
      <c r="R10" s="56"/>
    </row>
    <row r="11" spans="2:18" x14ac:dyDescent="0.25"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2:18" x14ac:dyDescent="0.25"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2:18" x14ac:dyDescent="0.25"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4" spans="2:18" x14ac:dyDescent="0.25"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2:18" x14ac:dyDescent="0.25"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2:18" x14ac:dyDescent="0.25"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2:11" x14ac:dyDescent="0.25"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2:11" x14ac:dyDescent="0.25"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2:11" x14ac:dyDescent="0.25">
      <c r="B19" s="52"/>
      <c r="C19" s="52"/>
      <c r="D19" s="52"/>
      <c r="E19" s="52"/>
      <c r="F19" s="52"/>
      <c r="G19" s="52"/>
      <c r="H19" s="52"/>
      <c r="I19" s="52"/>
      <c r="J19" s="52"/>
      <c r="K19" s="52"/>
    </row>
  </sheetData>
  <sheetProtection selectLockedCells="1"/>
  <mergeCells count="5">
    <mergeCell ref="B2:K19"/>
    <mergeCell ref="M4:R5"/>
    <mergeCell ref="M7:R7"/>
    <mergeCell ref="M9:N10"/>
    <mergeCell ref="Q9:R10"/>
  </mergeCells>
  <hyperlinks>
    <hyperlink ref="M9:N10" r:id="rId1" display="NAZAD"/>
    <hyperlink ref="Q9:R10" location="UnosPodataka!B2" display="DALJE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Ograničenje" error="Može se izabrati samo projekat sa liste" promptTitle="Projekat koji se analizira" prompt="Izaberi projekat koji će se analizirati">
          <x14:formula1>
            <xm:f>PomTab1!$B$3:$B$19</xm:f>
          </x14:formula1>
          <xm:sqref>M7:R7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workbookViewId="0">
      <selection activeCell="N1" sqref="N1:O1"/>
    </sheetView>
  </sheetViews>
  <sheetFormatPr defaultRowHeight="15" x14ac:dyDescent="0.25"/>
  <cols>
    <col min="6" max="6" width="10.42578125" customWidth="1"/>
  </cols>
  <sheetData>
    <row r="1" spans="1:28" ht="18.75" x14ac:dyDescent="0.3">
      <c r="A1" s="69" t="s">
        <v>148</v>
      </c>
      <c r="B1" s="69"/>
      <c r="C1" s="69"/>
      <c r="D1" s="69"/>
      <c r="I1" s="64" t="s">
        <v>160</v>
      </c>
      <c r="J1" s="64"/>
      <c r="N1" s="65" t="s">
        <v>161</v>
      </c>
      <c r="O1" s="65"/>
    </row>
    <row r="2" spans="1:28" x14ac:dyDescent="0.25">
      <c r="A2" s="69"/>
      <c r="B2" s="69"/>
      <c r="C2" s="69"/>
      <c r="D2" s="69"/>
    </row>
    <row r="4" spans="1:28" x14ac:dyDescent="0.25">
      <c r="A4" s="68" t="s">
        <v>149</v>
      </c>
      <c r="B4" s="68"/>
      <c r="C4" s="68"/>
      <c r="D4" s="68"/>
      <c r="E4" s="19"/>
      <c r="F4" s="19">
        <f>IF(E4&lt;UnosPodataka!$M$18,E4+1,"")</f>
        <v>1</v>
      </c>
      <c r="G4" s="34">
        <f>IF(F4&lt;UnosPodataka!$M$18,F4+1,"")</f>
        <v>2</v>
      </c>
      <c r="H4" s="34">
        <f>IF(G4&lt;UnosPodataka!$M$18,G4+1,"")</f>
        <v>3</v>
      </c>
      <c r="I4" s="34">
        <f>IF(H4&lt;UnosPodataka!$M$18,H4+1,"")</f>
        <v>4</v>
      </c>
      <c r="J4" s="34">
        <f>IF(I4&lt;UnosPodataka!$M$18,I4+1,"")</f>
        <v>5</v>
      </c>
      <c r="K4" s="34">
        <f>IF(J4&lt;UnosPodataka!$M$18,J4+1,"")</f>
        <v>6</v>
      </c>
      <c r="L4" s="34">
        <f>IF(K4&lt;UnosPodataka!$M$18,K4+1,"")</f>
        <v>7</v>
      </c>
      <c r="M4" s="34">
        <f>IF(L4&lt;UnosPodataka!$M$18,L4+1,"")</f>
        <v>8</v>
      </c>
      <c r="N4" s="34">
        <f>IF(M4&lt;UnosPodataka!$M$18,M4+1,"")</f>
        <v>9</v>
      </c>
      <c r="O4" s="34">
        <f>IF(N4&lt;UnosPodataka!$M$18,N4+1,"")</f>
        <v>10</v>
      </c>
      <c r="P4" s="34">
        <f>IF(O4&lt;UnosPodataka!$M$18,O4+1,"")</f>
        <v>11</v>
      </c>
      <c r="Q4" s="34">
        <f>IF(P4&lt;UnosPodataka!$M$18,P4+1,"")</f>
        <v>12</v>
      </c>
      <c r="R4" s="34">
        <f>IF(Q4&lt;UnosPodataka!$M$18,Q4+1,"")</f>
        <v>13</v>
      </c>
      <c r="S4" s="34">
        <f>IF(R4&lt;UnosPodataka!$M$18,R4+1,"")</f>
        <v>14</v>
      </c>
      <c r="T4" s="34">
        <f>IF(S4&lt;UnosPodataka!$M$18,S4+1,"")</f>
        <v>15</v>
      </c>
      <c r="U4" s="34">
        <f>IF(T4&lt;UnosPodataka!$M$18,T4+1,"")</f>
        <v>16</v>
      </c>
      <c r="V4" s="34">
        <f>IF(U4&lt;UnosPodataka!$M$18,U4+1,"")</f>
        <v>17</v>
      </c>
      <c r="W4" s="34">
        <f>IF(V4&lt;UnosPodataka!$M$18,V4+1,"")</f>
        <v>18</v>
      </c>
      <c r="X4" s="34">
        <f>IF(W4&lt;UnosPodataka!$M$18,W4+1,"")</f>
        <v>19</v>
      </c>
      <c r="Y4" s="34">
        <f>IF(X4&lt;UnosPodataka!$M$18,X4+1,"")</f>
        <v>20</v>
      </c>
      <c r="Z4" s="21"/>
      <c r="AA4" s="21"/>
      <c r="AB4" s="21"/>
    </row>
    <row r="6" spans="1:28" x14ac:dyDescent="0.25">
      <c r="A6" s="57" t="s">
        <v>150</v>
      </c>
      <c r="B6" s="57"/>
      <c r="C6" s="57"/>
      <c r="D6" s="57"/>
      <c r="E6" s="4"/>
      <c r="F6" s="4">
        <f>Investment</f>
        <v>144000</v>
      </c>
    </row>
    <row r="7" spans="1:28" x14ac:dyDescent="0.25">
      <c r="A7" s="57" t="s">
        <v>151</v>
      </c>
      <c r="B7" s="57"/>
      <c r="C7" s="57"/>
      <c r="D7" s="57"/>
      <c r="F7" s="4">
        <f>IF(F4&lt;&gt;"",-(FinaIndicators!F17+FinaIndicators!F21),"")</f>
        <v>13468.076923076922</v>
      </c>
      <c r="G7" s="4">
        <f>IF(G4&lt;&gt;"",-(FinaIndicators!G17+FinaIndicators!G21),"")</f>
        <v>12947.114889251392</v>
      </c>
      <c r="H7" s="4">
        <f>IF(H4&lt;&gt;"",-(FinaIndicators!H17+FinaIndicators!H21),"")</f>
        <v>12430.026847365842</v>
      </c>
      <c r="I7" s="4">
        <f>IF(I4&lt;&gt;"",-(FinaIndicators!I17+FinaIndicators!I21),"")</f>
        <v>11916.259722496245</v>
      </c>
      <c r="J7" s="4">
        <f>IF(J4&lt;&gt;"",-(FinaIndicators!J17+FinaIndicators!J21),"")</f>
        <v>11405.271609950189</v>
      </c>
      <c r="K7" s="4">
        <f>IF(K4&lt;&gt;"",-(FinaIndicators!K17+FinaIndicators!K21),"")</f>
        <v>10896.53109309556</v>
      </c>
      <c r="L7" s="4">
        <f>IF(L4&lt;&gt;"",-(FinaIndicators!L17+FinaIndicators!L21),"")</f>
        <v>10389.516581112912</v>
      </c>
      <c r="M7" s="4">
        <f>IF(M4&lt;&gt;"",-(FinaIndicators!M17+FinaIndicators!M21),"")</f>
        <v>9883.7156657473715</v>
      </c>
      <c r="N7" s="4">
        <f>IF(N4&lt;&gt;"",-(FinaIndicators!N17+FinaIndicators!N21),"")</f>
        <v>9378.6244961675802</v>
      </c>
      <c r="O7" s="4">
        <f>IF(O4&lt;&gt;"",-(FinaIndicators!O17+FinaIndicators!O21),"")</f>
        <v>9184.0620155457509</v>
      </c>
      <c r="P7" s="4">
        <f>IF(P4&lt;&gt;"",-(FinaIndicators!P17+FinaIndicators!P21),"")</f>
        <v>8996.982707255529</v>
      </c>
      <c r="Q7" s="4">
        <f>IF(Q4&lt;&gt;"",-(FinaIndicators!Q17+FinaIndicators!Q21),"")</f>
        <v>8817.0987569764693</v>
      </c>
      <c r="R7" s="4">
        <f>IF(R4&lt;&gt;"",-(FinaIndicators!R17+FinaIndicators!R21),"")</f>
        <v>8644.1334201696809</v>
      </c>
      <c r="S7" s="4">
        <f>IF(S4&lt;&gt;"",-(FinaIndicators!S17+FinaIndicators!S21),"")</f>
        <v>8477.8205963170003</v>
      </c>
      <c r="T7" s="4">
        <f>IF(T4&lt;&gt;"",-(FinaIndicators!T17+FinaIndicators!T21),"")</f>
        <v>8317.9044195355782</v>
      </c>
      <c r="U7" s="4">
        <f>IF(U4&lt;&gt;"",-(FinaIndicators!U17+FinaIndicators!U21),"")</f>
        <v>8164.1388649380551</v>
      </c>
      <c r="V7" s="4">
        <f>IF(V4&lt;&gt;"",-(FinaIndicators!V17+FinaIndicators!V21),"")</f>
        <v>8016.2873701327462</v>
      </c>
      <c r="W7" s="4">
        <f>IF(W4&lt;&gt;"",-(FinaIndicators!W17+FinaIndicators!W21),"")</f>
        <v>7874.1224712814856</v>
      </c>
      <c r="X7" s="4">
        <f>IF(X4&lt;&gt;"",-(FinaIndicators!X17+FinaIndicators!X21),"")</f>
        <v>7737.4254531552751</v>
      </c>
      <c r="Y7" s="4">
        <f>IF(Y4&lt;&gt;"",-(FinaIndicators!Y17+FinaIndicators!Y21),"")</f>
        <v>7605.9860126493022</v>
      </c>
    </row>
    <row r="8" spans="1:28" x14ac:dyDescent="0.25">
      <c r="A8" s="57" t="s">
        <v>152</v>
      </c>
      <c r="B8" s="57"/>
      <c r="C8" s="57"/>
      <c r="D8" s="57"/>
      <c r="E8" s="4"/>
      <c r="F8" s="4">
        <f t="shared" ref="F8:Y8" si="0">IF(F4&lt;&gt;"",F6+F7,"")</f>
        <v>157468.07692307694</v>
      </c>
      <c r="G8" s="4">
        <f t="shared" si="0"/>
        <v>12947.114889251392</v>
      </c>
      <c r="H8" s="4">
        <f t="shared" si="0"/>
        <v>12430.026847365842</v>
      </c>
      <c r="I8" s="4">
        <f t="shared" si="0"/>
        <v>11916.259722496245</v>
      </c>
      <c r="J8" s="4">
        <f t="shared" si="0"/>
        <v>11405.271609950189</v>
      </c>
      <c r="K8" s="4">
        <f t="shared" si="0"/>
        <v>10896.53109309556</v>
      </c>
      <c r="L8" s="4">
        <f t="shared" si="0"/>
        <v>10389.516581112912</v>
      </c>
      <c r="M8" s="4">
        <f t="shared" si="0"/>
        <v>9883.7156657473715</v>
      </c>
      <c r="N8" s="4">
        <f t="shared" si="0"/>
        <v>9378.6244961675802</v>
      </c>
      <c r="O8" s="4">
        <f t="shared" si="0"/>
        <v>9184.0620155457509</v>
      </c>
      <c r="P8" s="4">
        <f t="shared" si="0"/>
        <v>8996.982707255529</v>
      </c>
      <c r="Q8" s="4">
        <f t="shared" si="0"/>
        <v>8817.0987569764693</v>
      </c>
      <c r="R8" s="4">
        <f t="shared" si="0"/>
        <v>8644.1334201696809</v>
      </c>
      <c r="S8" s="4">
        <f t="shared" si="0"/>
        <v>8477.8205963170003</v>
      </c>
      <c r="T8" s="4">
        <f t="shared" si="0"/>
        <v>8317.9044195355782</v>
      </c>
      <c r="U8" s="4">
        <f t="shared" si="0"/>
        <v>8164.1388649380551</v>
      </c>
      <c r="V8" s="4">
        <f t="shared" si="0"/>
        <v>8016.2873701327462</v>
      </c>
      <c r="W8" s="4">
        <f t="shared" si="0"/>
        <v>7874.1224712814856</v>
      </c>
      <c r="X8" s="4">
        <f t="shared" si="0"/>
        <v>7737.4254531552751</v>
      </c>
      <c r="Y8" s="4">
        <f t="shared" si="0"/>
        <v>7605.9860126493022</v>
      </c>
    </row>
    <row r="9" spans="1:28" x14ac:dyDescent="0.25">
      <c r="A9" s="58"/>
      <c r="B9" s="58"/>
      <c r="C9" s="58"/>
      <c r="D9" s="58"/>
    </row>
    <row r="10" spans="1:28" x14ac:dyDescent="0.25">
      <c r="A10" s="57" t="s">
        <v>136</v>
      </c>
      <c r="B10" s="57"/>
      <c r="C10" s="57"/>
      <c r="D10" s="57"/>
      <c r="F10" s="4">
        <f>IF(F4&lt;&gt;"",FinaIndicators!F8,"")</f>
        <v>356.08311398399997</v>
      </c>
      <c r="G10" s="4">
        <f>IF(G4&lt;&gt;"",FinaIndicators!G8,"")</f>
        <v>356.08311398399997</v>
      </c>
      <c r="H10" s="4">
        <f>IF(H4&lt;&gt;"",FinaIndicators!H8,"")</f>
        <v>356.08311398399997</v>
      </c>
      <c r="I10" s="4">
        <f>IF(I4&lt;&gt;"",FinaIndicators!I8,"")</f>
        <v>356.08311398399997</v>
      </c>
      <c r="J10" s="4">
        <f>IF(J4&lt;&gt;"",FinaIndicators!J8,"")</f>
        <v>356.08311398399997</v>
      </c>
      <c r="K10" s="4">
        <f>IF(K4&lt;&gt;"",FinaIndicators!K8,"")</f>
        <v>356.08311398399997</v>
      </c>
      <c r="L10" s="4">
        <f>IF(L4&lt;&gt;"",FinaIndicators!L8,"")</f>
        <v>356.08311398399997</v>
      </c>
      <c r="M10" s="4">
        <f>IF(M4&lt;&gt;"",FinaIndicators!M8,"")</f>
        <v>356.08311398399997</v>
      </c>
      <c r="N10" s="4">
        <f>IF(N4&lt;&gt;"",FinaIndicators!N8,"")</f>
        <v>356.08311398399997</v>
      </c>
      <c r="O10" s="4">
        <f>IF(O4&lt;&gt;"",FinaIndicators!O8,"")</f>
        <v>356.08311398399997</v>
      </c>
      <c r="P10" s="4">
        <f>IF(P4&lt;&gt;"",FinaIndicators!P8,"")</f>
        <v>356.08311398399997</v>
      </c>
      <c r="Q10" s="4">
        <f>IF(Q4&lt;&gt;"",FinaIndicators!Q8,"")</f>
        <v>356.08311398399997</v>
      </c>
      <c r="R10" s="4">
        <f>IF(R4&lt;&gt;"",FinaIndicators!R8,"")</f>
        <v>356.08311398399997</v>
      </c>
      <c r="S10" s="4">
        <f>IF(S4&lt;&gt;"",FinaIndicators!S8,"")</f>
        <v>356.08311398399997</v>
      </c>
      <c r="T10" s="4">
        <f>IF(T4&lt;&gt;"",FinaIndicators!T8,"")</f>
        <v>356.08311398399997</v>
      </c>
      <c r="U10" s="4">
        <f>IF(U4&lt;&gt;"",FinaIndicators!U8,"")</f>
        <v>356.08311398399997</v>
      </c>
      <c r="V10" s="4">
        <f>IF(V4&lt;&gt;"",FinaIndicators!V8,"")</f>
        <v>356.08311398399997</v>
      </c>
      <c r="W10" s="4">
        <f>IF(W4&lt;&gt;"",FinaIndicators!W8,"")</f>
        <v>356.08311398399997</v>
      </c>
      <c r="X10" s="4">
        <f>IF(X4&lt;&gt;"",FinaIndicators!X8,"")</f>
        <v>356.08311398399997</v>
      </c>
      <c r="Y10" s="4">
        <f>IF(Y4&lt;&gt;"",FinaIndicators!Y8,"")</f>
        <v>356.08311398399997</v>
      </c>
    </row>
    <row r="11" spans="1:28" ht="18" x14ac:dyDescent="0.35">
      <c r="A11" s="57" t="s">
        <v>153</v>
      </c>
      <c r="B11" s="57"/>
      <c r="C11" s="57"/>
      <c r="D11" s="57"/>
      <c r="F11" s="4">
        <f>IF(F4&lt;&gt;"",F10*UnosPodataka!$M$17,"")</f>
        <v>71.216622796799996</v>
      </c>
      <c r="G11" s="4">
        <f>IF(G4&lt;&gt;"",G10*UnosPodataka!$M$17,"")</f>
        <v>71.216622796799996</v>
      </c>
      <c r="H11" s="4">
        <f>IF(H4&lt;&gt;"",H10*UnosPodataka!$M$17,"")</f>
        <v>71.216622796799996</v>
      </c>
      <c r="I11" s="4">
        <f>IF(I4&lt;&gt;"",I10*UnosPodataka!$M$17,"")</f>
        <v>71.216622796799996</v>
      </c>
      <c r="J11" s="4">
        <f>IF(J4&lt;&gt;"",J10*UnosPodataka!$M$17,"")</f>
        <v>71.216622796799996</v>
      </c>
      <c r="K11" s="4">
        <f>IF(K4&lt;&gt;"",K10*UnosPodataka!$M$17,"")</f>
        <v>71.216622796799996</v>
      </c>
      <c r="L11" s="4">
        <f>IF(L4&lt;&gt;"",L10*UnosPodataka!$M$17,"")</f>
        <v>71.216622796799996</v>
      </c>
      <c r="M11" s="4">
        <f>IF(M4&lt;&gt;"",M10*UnosPodataka!$M$17,"")</f>
        <v>71.216622796799996</v>
      </c>
      <c r="N11" s="4">
        <f>IF(N4&lt;&gt;"",N10*UnosPodataka!$M$17,"")</f>
        <v>71.216622796799996</v>
      </c>
      <c r="O11" s="4">
        <f>IF(O4&lt;&gt;"",O10*UnosPodataka!$M$17,"")</f>
        <v>71.216622796799996</v>
      </c>
      <c r="P11" s="4">
        <f>IF(P4&lt;&gt;"",P10*UnosPodataka!$M$17,"")</f>
        <v>71.216622796799996</v>
      </c>
      <c r="Q11" s="4">
        <f>IF(Q4&lt;&gt;"",Q10*UnosPodataka!$M$17,"")</f>
        <v>71.216622796799996</v>
      </c>
      <c r="R11" s="4">
        <f>IF(R4&lt;&gt;"",R10*UnosPodataka!$M$17,"")</f>
        <v>71.216622796799996</v>
      </c>
      <c r="S11" s="4">
        <f>IF(S4&lt;&gt;"",S10*UnosPodataka!$M$17,"")</f>
        <v>71.216622796799996</v>
      </c>
      <c r="T11" s="4">
        <f>IF(T4&lt;&gt;"",T10*UnosPodataka!$M$17,"")</f>
        <v>71.216622796799996</v>
      </c>
      <c r="U11" s="4">
        <f>IF(U4&lt;&gt;"",U10*UnosPodataka!$M$17,"")</f>
        <v>71.216622796799996</v>
      </c>
      <c r="V11" s="4">
        <f>IF(V4&lt;&gt;"",V10*UnosPodataka!$M$17,"")</f>
        <v>71.216622796799996</v>
      </c>
      <c r="W11" s="4">
        <f>IF(W4&lt;&gt;"",W10*UnosPodataka!$M$17,"")</f>
        <v>71.216622796799996</v>
      </c>
      <c r="X11" s="4">
        <f>IF(X4&lt;&gt;"",X10*UnosPodataka!$M$17,"")</f>
        <v>71.216622796799996</v>
      </c>
      <c r="Y11" s="4">
        <f>IF(Y4&lt;&gt;"",Y10*UnosPodataka!$M$17,"")</f>
        <v>71.216622796799996</v>
      </c>
    </row>
    <row r="13" spans="1:28" x14ac:dyDescent="0.25">
      <c r="A13" s="68" t="s">
        <v>32</v>
      </c>
      <c r="B13" s="68"/>
      <c r="C13" s="68"/>
      <c r="D13" s="68"/>
      <c r="E13" s="4">
        <f>NPV(UnosPodataka!M13,LCoEE!F8:Y8)/NPV(UnosPodataka!M13,LCoEE!F10:Y10)</f>
        <v>57.049166835239582</v>
      </c>
    </row>
    <row r="14" spans="1:28" ht="18" x14ac:dyDescent="0.35">
      <c r="A14" s="68" t="s">
        <v>33</v>
      </c>
      <c r="B14" s="68"/>
      <c r="C14" s="68"/>
      <c r="D14" s="68"/>
      <c r="E14" s="4">
        <f>NPV(UnosPodataka!M13,LCoEE!F8:Y8)/NPV(UnosPodataka!M13,LCoEE!F11:Y11)</f>
        <v>285.24583417619789</v>
      </c>
    </row>
  </sheetData>
  <sheetProtection selectLockedCells="1"/>
  <mergeCells count="12">
    <mergeCell ref="A14:D14"/>
    <mergeCell ref="A1:D2"/>
    <mergeCell ref="A4:D4"/>
    <mergeCell ref="A6:D6"/>
    <mergeCell ref="A7:D7"/>
    <mergeCell ref="A8:D8"/>
    <mergeCell ref="A9:D9"/>
    <mergeCell ref="I1:J1"/>
    <mergeCell ref="N1:O1"/>
    <mergeCell ref="A10:D10"/>
    <mergeCell ref="A11:D11"/>
    <mergeCell ref="A13:D13"/>
  </mergeCells>
  <hyperlinks>
    <hyperlink ref="I1:J1" location="GraphEcon!A5" display="NAZAD"/>
    <hyperlink ref="N1:O1" location="SALCoEE!A1" display="DALJE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D10" sqref="D10:E11"/>
    </sheetView>
  </sheetViews>
  <sheetFormatPr defaultRowHeight="15" x14ac:dyDescent="0.25"/>
  <cols>
    <col min="4" max="4" width="11.7109375" customWidth="1"/>
  </cols>
  <sheetData>
    <row r="1" spans="1:9" ht="21" x14ac:dyDescent="0.35">
      <c r="A1" s="62" t="s">
        <v>154</v>
      </c>
      <c r="B1" s="62"/>
      <c r="C1" s="62"/>
      <c r="D1" s="62"/>
    </row>
    <row r="2" spans="1:9" ht="21" x14ac:dyDescent="0.35">
      <c r="A2" s="25"/>
      <c r="B2" s="25"/>
      <c r="C2" s="25"/>
      <c r="D2" s="25"/>
    </row>
    <row r="3" spans="1:9" x14ac:dyDescent="0.25">
      <c r="A3" s="79" t="s">
        <v>154</v>
      </c>
      <c r="B3" s="80"/>
      <c r="C3" s="80"/>
      <c r="D3" s="81"/>
      <c r="E3" s="26">
        <v>-0.1</v>
      </c>
      <c r="F3" s="27">
        <v>-0.05</v>
      </c>
      <c r="G3" s="27">
        <v>0</v>
      </c>
      <c r="H3" s="27">
        <v>0.05</v>
      </c>
      <c r="I3" s="28">
        <v>0.1</v>
      </c>
    </row>
    <row r="4" spans="1:9" x14ac:dyDescent="0.25">
      <c r="A4" s="70" t="s">
        <v>155</v>
      </c>
      <c r="B4" s="71"/>
      <c r="C4" s="71"/>
      <c r="D4" s="72"/>
      <c r="E4" s="4">
        <v>57.05</v>
      </c>
      <c r="F4" s="4">
        <v>57.05</v>
      </c>
      <c r="G4" s="4">
        <v>57.05</v>
      </c>
      <c r="H4" s="4">
        <v>57.05</v>
      </c>
      <c r="I4" s="4">
        <v>57.05</v>
      </c>
    </row>
    <row r="5" spans="1:9" x14ac:dyDescent="0.25">
      <c r="A5" s="73" t="s">
        <v>156</v>
      </c>
      <c r="B5" s="74"/>
      <c r="C5" s="74"/>
      <c r="D5" s="75"/>
      <c r="E5" s="4">
        <v>51.23</v>
      </c>
      <c r="F5" s="4">
        <v>54.14</v>
      </c>
      <c r="G5" s="4">
        <v>57.05</v>
      </c>
      <c r="H5" s="4">
        <v>59.96</v>
      </c>
      <c r="I5" s="4">
        <v>62.87</v>
      </c>
    </row>
    <row r="6" spans="1:9" x14ac:dyDescent="0.25">
      <c r="A6" s="73" t="s">
        <v>157</v>
      </c>
      <c r="B6" s="74"/>
      <c r="C6" s="74"/>
      <c r="D6" s="75"/>
      <c r="E6" s="4">
        <v>54.21</v>
      </c>
      <c r="F6" s="4">
        <v>55.63</v>
      </c>
      <c r="G6" s="4">
        <v>57.05</v>
      </c>
      <c r="H6" s="4">
        <v>58.47</v>
      </c>
      <c r="I6" s="4">
        <v>59.89</v>
      </c>
    </row>
    <row r="7" spans="1:9" x14ac:dyDescent="0.25">
      <c r="A7" s="76" t="s">
        <v>158</v>
      </c>
      <c r="B7" s="77"/>
      <c r="C7" s="77"/>
      <c r="D7" s="78"/>
      <c r="E7" s="4">
        <v>63.39</v>
      </c>
      <c r="F7" s="4">
        <v>60.05</v>
      </c>
      <c r="G7" s="4">
        <v>57.05</v>
      </c>
      <c r="H7" s="4">
        <v>54.33</v>
      </c>
      <c r="I7" s="4">
        <v>51.86</v>
      </c>
    </row>
    <row r="10" spans="1:9" x14ac:dyDescent="0.25">
      <c r="A10" s="55" t="s">
        <v>160</v>
      </c>
      <c r="B10" s="55"/>
      <c r="D10" s="56" t="s">
        <v>161</v>
      </c>
      <c r="E10" s="56"/>
    </row>
    <row r="11" spans="1:9" x14ac:dyDescent="0.25">
      <c r="A11" s="55"/>
      <c r="B11" s="55"/>
      <c r="D11" s="56"/>
      <c r="E11" s="56"/>
    </row>
  </sheetData>
  <sheetProtection selectLockedCells="1" selectUnlockedCells="1"/>
  <mergeCells count="8">
    <mergeCell ref="A10:B11"/>
    <mergeCell ref="D10:E11"/>
    <mergeCell ref="A1:D1"/>
    <mergeCell ref="A4:D4"/>
    <mergeCell ref="A5:D5"/>
    <mergeCell ref="A6:D6"/>
    <mergeCell ref="A7:D7"/>
    <mergeCell ref="A3:D3"/>
  </mergeCells>
  <hyperlinks>
    <hyperlink ref="A10:B11" location="LCoEE!I1" display="NAZAD"/>
    <hyperlink ref="D10:E11" location="AkoESCO!A1" display="DALJE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workbookViewId="0">
      <selection activeCell="N1" sqref="N1:O1"/>
    </sheetView>
  </sheetViews>
  <sheetFormatPr defaultRowHeight="15" x14ac:dyDescent="0.25"/>
  <cols>
    <col min="5" max="5" width="11.5703125" bestFit="1" customWidth="1"/>
  </cols>
  <sheetData>
    <row r="1" spans="1:25" ht="18.75" x14ac:dyDescent="0.3">
      <c r="A1" s="53" t="s">
        <v>163</v>
      </c>
      <c r="B1" s="53"/>
      <c r="C1" s="53"/>
      <c r="D1" s="53"/>
      <c r="I1" s="64" t="s">
        <v>160</v>
      </c>
      <c r="J1" s="64"/>
      <c r="N1" s="56" t="s">
        <v>161</v>
      </c>
      <c r="O1" s="56"/>
    </row>
    <row r="2" spans="1:25" x14ac:dyDescent="0.25">
      <c r="A2" s="53"/>
      <c r="B2" s="53"/>
      <c r="C2" s="53"/>
      <c r="D2" s="53"/>
    </row>
    <row r="4" spans="1:25" x14ac:dyDescent="0.25">
      <c r="A4" s="68" t="s">
        <v>149</v>
      </c>
      <c r="B4" s="68"/>
      <c r="C4" s="68"/>
      <c r="D4" s="68"/>
      <c r="E4" s="24"/>
      <c r="F4" s="50">
        <f>IF(E4&lt;UnosPodataka!$M$18,E4+1,"")</f>
        <v>1</v>
      </c>
      <c r="G4" s="50">
        <f>IF(F4&lt;UnosPodataka!$M$18,F4+1,"")</f>
        <v>2</v>
      </c>
      <c r="H4" s="50">
        <f>IF(G4&lt;UnosPodataka!$M$18,G4+1,"")</f>
        <v>3</v>
      </c>
      <c r="I4" s="50">
        <f>IF(H4&lt;UnosPodataka!$M$18,H4+1,"")</f>
        <v>4</v>
      </c>
      <c r="J4" s="50">
        <f>IF(I4&lt;UnosPodataka!$M$18,I4+1,"")</f>
        <v>5</v>
      </c>
      <c r="K4" s="50">
        <f>IF(J4&lt;UnosPodataka!$M$18,J4+1,"")</f>
        <v>6</v>
      </c>
      <c r="L4" s="50">
        <f>IF(K4&lt;UnosPodataka!$M$18,K4+1,"")</f>
        <v>7</v>
      </c>
      <c r="M4" s="50">
        <f>IF(L4&lt;UnosPodataka!$M$18,L4+1,"")</f>
        <v>8</v>
      </c>
      <c r="N4" s="50">
        <f>IF(M4&lt;UnosPodataka!$M$18,M4+1,"")</f>
        <v>9</v>
      </c>
      <c r="O4" s="50">
        <f>IF(N4&lt;UnosPodataka!$M$18,N4+1,"")</f>
        <v>10</v>
      </c>
      <c r="P4" s="50">
        <f>IF(O4&lt;UnosPodataka!$M$18,O4+1,"")</f>
        <v>11</v>
      </c>
      <c r="Q4" s="50">
        <f>IF(P4&lt;UnosPodataka!$M$18,P4+1,"")</f>
        <v>12</v>
      </c>
      <c r="R4" s="50">
        <f>IF(Q4&lt;UnosPodataka!$M$18,Q4+1,"")</f>
        <v>13</v>
      </c>
      <c r="S4" s="50">
        <f>IF(R4&lt;UnosPodataka!$M$18,R4+1,"")</f>
        <v>14</v>
      </c>
      <c r="T4" s="50">
        <f>IF(S4&lt;UnosPodataka!$M$18,S4+1,"")</f>
        <v>15</v>
      </c>
      <c r="U4" s="50">
        <f>IF(T4&lt;UnosPodataka!$M$18,T4+1,"")</f>
        <v>16</v>
      </c>
      <c r="V4" s="50">
        <f>IF(U4&lt;UnosPodataka!$M$18,U4+1,"")</f>
        <v>17</v>
      </c>
      <c r="W4" s="50">
        <f>IF(V4&lt;UnosPodataka!$M$18,V4+1,"")</f>
        <v>18</v>
      </c>
      <c r="X4" s="50">
        <f>IF(W4&lt;UnosPodataka!$M$18,W4+1,"")</f>
        <v>19</v>
      </c>
      <c r="Y4" s="50">
        <f>IF(X4&lt;UnosPodataka!$M$18,X4+1,"")</f>
        <v>20</v>
      </c>
    </row>
    <row r="6" spans="1:25" x14ac:dyDescent="0.25">
      <c r="A6" s="57" t="s">
        <v>166</v>
      </c>
      <c r="B6" s="57"/>
      <c r="C6" s="57"/>
      <c r="D6" s="57"/>
      <c r="E6" s="4">
        <v>0</v>
      </c>
      <c r="F6" s="4">
        <f>IF(F4&lt;&gt;"",-FinaIndicators!F16,"")</f>
        <v>0</v>
      </c>
      <c r="G6" s="4">
        <f>IF(G4&lt;&gt;"",-FinaIndicators!G16,"")</f>
        <v>0</v>
      </c>
      <c r="H6" s="4">
        <f>IF(H4&lt;&gt;"",-FinaIndicators!H16,"")</f>
        <v>0</v>
      </c>
      <c r="I6" s="4">
        <f>IF(I4&lt;&gt;"",-FinaIndicators!I16,"")</f>
        <v>0</v>
      </c>
      <c r="J6" s="4">
        <f>IF(J4&lt;&gt;"",-FinaIndicators!J16,"")</f>
        <v>0</v>
      </c>
      <c r="K6" s="4">
        <f>IF(K4&lt;&gt;"",-FinaIndicators!K16,"")</f>
        <v>0</v>
      </c>
      <c r="L6" s="4">
        <f>IF(L4&lt;&gt;"",-FinaIndicators!L16,"")</f>
        <v>0</v>
      </c>
      <c r="M6" s="4">
        <f>IF(M4&lt;&gt;"",-FinaIndicators!M16,"")</f>
        <v>0</v>
      </c>
      <c r="N6" s="4">
        <f>IF(N4&lt;&gt;"",-FinaIndicators!N16,"")</f>
        <v>0</v>
      </c>
      <c r="O6" s="4">
        <f>IF(O4&lt;&gt;"",-FinaIndicators!O16,"")</f>
        <v>0</v>
      </c>
      <c r="P6" s="4">
        <f>IF(P4&lt;&gt;"",-FinaIndicators!P16,"")</f>
        <v>0</v>
      </c>
      <c r="Q6" s="4">
        <f>IF(Q4&lt;&gt;"",-FinaIndicators!Q16,"")</f>
        <v>0</v>
      </c>
      <c r="R6" s="4">
        <f>IF(R4&lt;&gt;"",-FinaIndicators!R16,"")</f>
        <v>0</v>
      </c>
      <c r="S6" s="4">
        <f>IF(S4&lt;&gt;"",-FinaIndicators!S16,"")</f>
        <v>0</v>
      </c>
      <c r="T6" s="4">
        <f>IF(T4&lt;&gt;"",-FinaIndicators!T16,"")</f>
        <v>0</v>
      </c>
      <c r="U6" s="4">
        <f>IF(U4&lt;&gt;"",-FinaIndicators!U16,"")</f>
        <v>0</v>
      </c>
      <c r="V6" s="4">
        <f>IF(V4&lt;&gt;"",-FinaIndicators!V16,"")</f>
        <v>0</v>
      </c>
      <c r="W6" s="4">
        <f>IF(W4&lt;&gt;"",-FinaIndicators!W16,"")</f>
        <v>0</v>
      </c>
      <c r="X6" s="4">
        <f>IF(X4&lt;&gt;"",-FinaIndicators!X16,"")</f>
        <v>0</v>
      </c>
      <c r="Y6" s="4">
        <f>IF(Y4&lt;&gt;"",-FinaIndicators!Y16,"")</f>
        <v>0</v>
      </c>
    </row>
    <row r="7" spans="1:25" x14ac:dyDescent="0.25">
      <c r="A7" s="57" t="s">
        <v>167</v>
      </c>
      <c r="B7" s="57"/>
      <c r="C7" s="57"/>
      <c r="D7" s="57"/>
      <c r="E7" s="4">
        <v>0</v>
      </c>
      <c r="F7" s="4">
        <f>IF(F4&lt;&gt;"",F6*(1+UnosPodataka!$M$13)^(-F4),"")</f>
        <v>0</v>
      </c>
      <c r="G7" s="4">
        <f>IF(G4&lt;&gt;"",G6*(1+UnosPodataka!$M$13)^(-G4),"")</f>
        <v>0</v>
      </c>
      <c r="H7" s="4">
        <f>IF(H4&lt;&gt;"",H6*(1+UnosPodataka!$M$13)^(-H4),"")</f>
        <v>0</v>
      </c>
      <c r="I7" s="4">
        <f>IF(I4&lt;&gt;"",I6*(1+UnosPodataka!$M$13)^(-I4),"")</f>
        <v>0</v>
      </c>
      <c r="J7" s="4">
        <f>IF(J4&lt;&gt;"",J6*(1+UnosPodataka!$M$13)^(-J4),"")</f>
        <v>0</v>
      </c>
      <c r="K7" s="4">
        <f>IF(K4&lt;&gt;"",K6*(1+UnosPodataka!$M$13)^(-K4),"")</f>
        <v>0</v>
      </c>
      <c r="L7" s="4">
        <f>IF(L4&lt;&gt;"",L6*(1+UnosPodataka!$M$13)^(-L4),"")</f>
        <v>0</v>
      </c>
      <c r="M7" s="4">
        <f>IF(M4&lt;&gt;"",M6*(1+UnosPodataka!$M$13)^(-M4),"")</f>
        <v>0</v>
      </c>
      <c r="N7" s="4">
        <f>IF(N4&lt;&gt;"",N6*(1+UnosPodataka!$M$13)^(-N4),"")</f>
        <v>0</v>
      </c>
      <c r="O7" s="4">
        <f>IF(O4&lt;&gt;"",O6*(1+UnosPodataka!$M$13)^(-O4),"")</f>
        <v>0</v>
      </c>
      <c r="P7" s="4">
        <f>IF(P4&lt;&gt;"",P6*(1+UnosPodataka!$M$13)^(-P4),"")</f>
        <v>0</v>
      </c>
      <c r="Q7" s="4">
        <f>IF(Q4&lt;&gt;"",Q6*(1+UnosPodataka!$M$13)^(-Q4),"")</f>
        <v>0</v>
      </c>
      <c r="R7" s="4">
        <f>IF(R4&lt;&gt;"",R6*(1+UnosPodataka!$M$13)^(-R4),"")</f>
        <v>0</v>
      </c>
      <c r="S7" s="4">
        <f>IF(S4&lt;&gt;"",S6*(1+UnosPodataka!$M$13)^(-S4),"")</f>
        <v>0</v>
      </c>
      <c r="T7" s="4">
        <f>IF(T4&lt;&gt;"",T6*(1+UnosPodataka!$M$13)^(-T4),"")</f>
        <v>0</v>
      </c>
      <c r="U7" s="4">
        <f>IF(U4&lt;&gt;"",U6*(1+UnosPodataka!$M$13)^(-U4),"")</f>
        <v>0</v>
      </c>
      <c r="V7" s="4">
        <f>IF(V4&lt;&gt;"",V6*(1+UnosPodataka!$M$13)^(-V4),"")</f>
        <v>0</v>
      </c>
      <c r="W7" s="4">
        <f>IF(W4&lt;&gt;"",W6*(1+UnosPodataka!$M$13)^(-W4),"")</f>
        <v>0</v>
      </c>
      <c r="X7" s="4">
        <f>IF(X4&lt;&gt;"",X6*(1+UnosPodataka!$M$13)^(-X4),"")</f>
        <v>0</v>
      </c>
      <c r="Y7" s="4">
        <f>IF(Y4&lt;&gt;"",Y6*(1+UnosPodataka!$M$13)^(-Y4),"")</f>
        <v>0</v>
      </c>
    </row>
    <row r="9" spans="1:25" x14ac:dyDescent="0.25">
      <c r="A9" s="68" t="s">
        <v>30</v>
      </c>
      <c r="B9" s="68"/>
      <c r="C9" s="68"/>
      <c r="D9" s="68"/>
      <c r="E9" s="22">
        <f>NPV(UnosPodataka!M13,AkoESCO!E6:X6)</f>
        <v>0</v>
      </c>
    </row>
    <row r="10" spans="1:25" x14ac:dyDescent="0.25">
      <c r="A10" s="68" t="s">
        <v>31</v>
      </c>
      <c r="B10" s="68"/>
      <c r="C10" s="68"/>
      <c r="D10" s="68"/>
      <c r="E10" s="49" t="s">
        <v>164</v>
      </c>
    </row>
  </sheetData>
  <mergeCells count="8">
    <mergeCell ref="A10:D10"/>
    <mergeCell ref="I1:J1"/>
    <mergeCell ref="N1:O1"/>
    <mergeCell ref="A1:D2"/>
    <mergeCell ref="A4:D4"/>
    <mergeCell ref="A6:D6"/>
    <mergeCell ref="A7:D7"/>
    <mergeCell ref="A9:D9"/>
  </mergeCells>
  <hyperlinks>
    <hyperlink ref="I1:J1" location="SALCoEE!A10" display="NAZAD"/>
    <hyperlink ref="N1:O1" location="ESCOGrafFina!A1" display="DALJ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D5" sqref="D5:E6"/>
    </sheetView>
  </sheetViews>
  <sheetFormatPr defaultRowHeight="15" x14ac:dyDescent="0.25"/>
  <sheetData>
    <row r="1" spans="1:5" x14ac:dyDescent="0.25">
      <c r="A1" s="53" t="s">
        <v>165</v>
      </c>
      <c r="B1" s="53"/>
      <c r="C1" s="53"/>
      <c r="D1" s="53"/>
    </row>
    <row r="2" spans="1:5" x14ac:dyDescent="0.25">
      <c r="A2" s="53"/>
      <c r="B2" s="53"/>
      <c r="C2" s="53"/>
      <c r="D2" s="53"/>
    </row>
    <row r="3" spans="1:5" x14ac:dyDescent="0.25">
      <c r="A3" s="53"/>
      <c r="B3" s="53"/>
      <c r="C3" s="53"/>
      <c r="D3" s="53"/>
    </row>
    <row r="5" spans="1:5" x14ac:dyDescent="0.25">
      <c r="A5" s="55" t="s">
        <v>160</v>
      </c>
      <c r="B5" s="55"/>
      <c r="D5" s="56" t="s">
        <v>161</v>
      </c>
      <c r="E5" s="56"/>
    </row>
    <row r="6" spans="1:5" x14ac:dyDescent="0.25">
      <c r="A6" s="55"/>
      <c r="B6" s="55"/>
      <c r="D6" s="56"/>
      <c r="E6" s="56"/>
    </row>
  </sheetData>
  <mergeCells count="3">
    <mergeCell ref="A1:D3"/>
    <mergeCell ref="A5:B6"/>
    <mergeCell ref="D5:E6"/>
  </mergeCells>
  <hyperlinks>
    <hyperlink ref="A5:B6" location="AkoESCO!I1" display="NAZAD"/>
    <hyperlink ref="D5:E6" location="REZIME!A1" display="DALJE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sqref="A1:D2"/>
    </sheetView>
  </sheetViews>
  <sheetFormatPr defaultRowHeight="15" x14ac:dyDescent="0.25"/>
  <sheetData>
    <row r="1" spans="1:9" x14ac:dyDescent="0.25">
      <c r="A1" s="53" t="s">
        <v>168</v>
      </c>
      <c r="B1" s="53"/>
      <c r="C1" s="53"/>
      <c r="D1" s="53"/>
    </row>
    <row r="2" spans="1:9" x14ac:dyDescent="0.25">
      <c r="A2" s="53"/>
      <c r="B2" s="53"/>
      <c r="C2" s="53"/>
      <c r="D2" s="53"/>
    </row>
    <row r="3" spans="1:9" x14ac:dyDescent="0.25">
      <c r="B3" s="68" t="s">
        <v>169</v>
      </c>
      <c r="C3" s="68"/>
      <c r="D3" s="68"/>
      <c r="E3" s="58" t="str">
        <f>PROJEKAT</f>
        <v>Rekonstrukcija distributivne mreže</v>
      </c>
      <c r="F3" s="58"/>
      <c r="G3" s="58"/>
      <c r="H3" s="58"/>
      <c r="I3" s="58"/>
    </row>
    <row r="4" spans="1:9" x14ac:dyDescent="0.25">
      <c r="B4" s="68" t="s">
        <v>170</v>
      </c>
      <c r="C4" s="68"/>
      <c r="D4" s="68"/>
      <c r="E4" s="82">
        <f>Investment</f>
        <v>144000</v>
      </c>
      <c r="F4" s="82"/>
      <c r="G4" s="82"/>
      <c r="H4" s="82"/>
      <c r="I4" s="82"/>
    </row>
    <row r="5" spans="1:9" x14ac:dyDescent="0.25">
      <c r="B5" s="68" t="s">
        <v>171</v>
      </c>
      <c r="C5" s="68"/>
      <c r="D5" s="68"/>
      <c r="E5" s="82">
        <f>SUM(UnosPodataka!F15:F21)-Equity</f>
        <v>30000</v>
      </c>
      <c r="F5" s="82"/>
      <c r="G5" s="82"/>
      <c r="H5" s="82"/>
      <c r="I5" s="82"/>
    </row>
    <row r="6" spans="1:9" x14ac:dyDescent="0.25">
      <c r="B6" s="68" t="s">
        <v>116</v>
      </c>
      <c r="C6" s="68"/>
      <c r="D6" s="68"/>
      <c r="E6" s="82">
        <f>Equity</f>
        <v>25000</v>
      </c>
      <c r="F6" s="82"/>
      <c r="G6" s="82"/>
      <c r="H6" s="82"/>
      <c r="I6" s="82"/>
    </row>
    <row r="7" spans="1:9" x14ac:dyDescent="0.25">
      <c r="B7" s="68" t="s">
        <v>115</v>
      </c>
      <c r="C7" s="68"/>
      <c r="D7" s="68"/>
      <c r="E7" s="82">
        <f>LOAN</f>
        <v>89000</v>
      </c>
      <c r="F7" s="82"/>
      <c r="G7" s="82"/>
      <c r="H7" s="82"/>
      <c r="I7" s="82"/>
    </row>
    <row r="8" spans="1:9" x14ac:dyDescent="0.25">
      <c r="B8" s="68" t="s">
        <v>172</v>
      </c>
      <c r="C8" s="68"/>
      <c r="D8" s="68"/>
      <c r="E8" s="82">
        <f>LCoE</f>
        <v>57.049166835239582</v>
      </c>
      <c r="F8" s="82"/>
      <c r="G8" s="82"/>
      <c r="H8" s="82"/>
      <c r="I8" s="82"/>
    </row>
    <row r="9" spans="1:9" x14ac:dyDescent="0.25">
      <c r="B9" s="68" t="s">
        <v>173</v>
      </c>
      <c r="C9" s="68"/>
      <c r="D9" s="68"/>
      <c r="E9" s="82">
        <f>FNPV</f>
        <v>109072.58415925325</v>
      </c>
      <c r="F9" s="82"/>
      <c r="G9" s="82"/>
      <c r="H9" s="82"/>
      <c r="I9" s="82"/>
    </row>
    <row r="10" spans="1:9" x14ac:dyDescent="0.25">
      <c r="B10" s="68" t="s">
        <v>174</v>
      </c>
      <c r="C10" s="68"/>
      <c r="D10" s="68"/>
      <c r="E10" s="83">
        <f>FIRR</f>
        <v>0.34050308747131575</v>
      </c>
      <c r="F10" s="83"/>
      <c r="G10" s="83"/>
      <c r="H10" s="83"/>
      <c r="I10" s="83"/>
    </row>
    <row r="11" spans="1:9" x14ac:dyDescent="0.25">
      <c r="B11" s="68" t="s">
        <v>175</v>
      </c>
      <c r="C11" s="68"/>
      <c r="D11" s="68"/>
      <c r="E11" s="84">
        <f>AkoESCO!E9</f>
        <v>0</v>
      </c>
      <c r="F11" s="58"/>
      <c r="G11" s="58"/>
      <c r="H11" s="58"/>
      <c r="I11" s="58"/>
    </row>
    <row r="12" spans="1:9" x14ac:dyDescent="0.25">
      <c r="B12" s="68" t="s">
        <v>176</v>
      </c>
      <c r="C12" s="68"/>
      <c r="D12" s="68"/>
      <c r="E12" s="58" t="str">
        <f>AkoESCO!E10</f>
        <v>N/A</v>
      </c>
      <c r="F12" s="58"/>
      <c r="G12" s="58"/>
      <c r="H12" s="58"/>
      <c r="I12" s="58"/>
    </row>
    <row r="14" spans="1:9" x14ac:dyDescent="0.25">
      <c r="B14" s="55" t="s">
        <v>160</v>
      </c>
      <c r="C14" s="55"/>
    </row>
    <row r="15" spans="1:9" x14ac:dyDescent="0.25">
      <c r="B15" s="55"/>
      <c r="C15" s="55"/>
    </row>
  </sheetData>
  <mergeCells count="22">
    <mergeCell ref="B7:D7"/>
    <mergeCell ref="A1:D2"/>
    <mergeCell ref="B3:D3"/>
    <mergeCell ref="B4:D4"/>
    <mergeCell ref="B5:D5"/>
    <mergeCell ref="B6:D6"/>
    <mergeCell ref="E3:I3"/>
    <mergeCell ref="E4:I4"/>
    <mergeCell ref="E5:I5"/>
    <mergeCell ref="E6:I6"/>
    <mergeCell ref="E7:I7"/>
    <mergeCell ref="B14:C15"/>
    <mergeCell ref="B8:D8"/>
    <mergeCell ref="B9:D9"/>
    <mergeCell ref="B10:D10"/>
    <mergeCell ref="B11:D11"/>
    <mergeCell ref="B12:D12"/>
    <mergeCell ref="E8:I8"/>
    <mergeCell ref="E9:I9"/>
    <mergeCell ref="E10:I10"/>
    <mergeCell ref="E11:I11"/>
    <mergeCell ref="E12:I12"/>
  </mergeCells>
  <hyperlinks>
    <hyperlink ref="B14:C15" location="ESCOGrafFina!A5" display="NAZAD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P34"/>
  <sheetViews>
    <sheetView workbookViewId="0">
      <selection activeCell="A3" sqref="A3"/>
    </sheetView>
  </sheetViews>
  <sheetFormatPr defaultRowHeight="15" x14ac:dyDescent="0.25"/>
  <cols>
    <col min="2" max="2" width="36.42578125" customWidth="1"/>
    <col min="7" max="7" width="10.28515625" customWidth="1"/>
    <col min="13" max="13" width="10.140625" customWidth="1"/>
  </cols>
  <sheetData>
    <row r="3" spans="1:14" ht="15" customHeight="1" x14ac:dyDescent="0.25">
      <c r="A3" s="19" t="s">
        <v>34</v>
      </c>
      <c r="B3" t="s">
        <v>35</v>
      </c>
      <c r="E3">
        <v>1</v>
      </c>
      <c r="G3" s="24" t="s">
        <v>11</v>
      </c>
      <c r="H3" s="3" t="s">
        <v>52</v>
      </c>
      <c r="I3" s="3"/>
      <c r="J3" s="3"/>
      <c r="K3" s="3"/>
      <c r="L3" s="3"/>
      <c r="M3" s="24" t="s">
        <v>3</v>
      </c>
      <c r="N3" t="s">
        <v>4</v>
      </c>
    </row>
    <row r="4" spans="1:14" x14ac:dyDescent="0.25">
      <c r="B4" t="s">
        <v>36</v>
      </c>
      <c r="E4">
        <v>2</v>
      </c>
      <c r="H4" s="3" t="s">
        <v>53</v>
      </c>
      <c r="I4" s="3"/>
      <c r="J4" s="3"/>
      <c r="K4" s="3"/>
      <c r="L4" s="3"/>
      <c r="N4" t="s">
        <v>5</v>
      </c>
    </row>
    <row r="5" spans="1:14" x14ac:dyDescent="0.25">
      <c r="B5" t="s">
        <v>37</v>
      </c>
      <c r="E5">
        <v>3</v>
      </c>
      <c r="H5" s="3" t="s">
        <v>54</v>
      </c>
      <c r="I5" s="3"/>
      <c r="J5" s="3"/>
      <c r="K5" s="3"/>
      <c r="L5" s="3"/>
      <c r="N5" t="s">
        <v>6</v>
      </c>
    </row>
    <row r="6" spans="1:14" x14ac:dyDescent="0.25">
      <c r="B6" t="s">
        <v>38</v>
      </c>
      <c r="E6">
        <v>4</v>
      </c>
      <c r="H6" s="3" t="s">
        <v>55</v>
      </c>
      <c r="I6" s="3"/>
      <c r="J6" s="3"/>
      <c r="K6" s="3"/>
      <c r="L6" s="3"/>
      <c r="N6" t="s">
        <v>7</v>
      </c>
    </row>
    <row r="7" spans="1:14" x14ac:dyDescent="0.25">
      <c r="B7" t="s">
        <v>39</v>
      </c>
      <c r="E7">
        <v>5</v>
      </c>
      <c r="H7" s="3" t="s">
        <v>56</v>
      </c>
      <c r="I7" s="3"/>
      <c r="J7" s="3"/>
      <c r="K7" s="3"/>
      <c r="L7" s="3"/>
      <c r="N7" t="s">
        <v>8</v>
      </c>
    </row>
    <row r="8" spans="1:14" x14ac:dyDescent="0.25">
      <c r="B8" t="s">
        <v>40</v>
      </c>
      <c r="E8">
        <v>6</v>
      </c>
      <c r="H8" s="3" t="s">
        <v>57</v>
      </c>
      <c r="I8" s="3"/>
      <c r="J8" s="3"/>
      <c r="K8" s="3"/>
      <c r="L8" s="3"/>
      <c r="N8" t="s">
        <v>9</v>
      </c>
    </row>
    <row r="9" spans="1:14" x14ac:dyDescent="0.25">
      <c r="B9" t="s">
        <v>41</v>
      </c>
      <c r="E9">
        <v>7</v>
      </c>
      <c r="H9" s="3" t="s">
        <v>58</v>
      </c>
      <c r="I9" s="3"/>
      <c r="J9" s="3"/>
      <c r="K9" s="3"/>
      <c r="L9" s="3"/>
    </row>
    <row r="10" spans="1:14" x14ac:dyDescent="0.25">
      <c r="B10" t="s">
        <v>42</v>
      </c>
      <c r="E10">
        <v>8</v>
      </c>
      <c r="H10" s="3" t="s">
        <v>12</v>
      </c>
      <c r="I10" s="3"/>
      <c r="J10" s="3"/>
      <c r="K10" s="3"/>
      <c r="L10" s="3"/>
    </row>
    <row r="11" spans="1:14" x14ac:dyDescent="0.25">
      <c r="B11" t="s">
        <v>43</v>
      </c>
      <c r="E11">
        <v>9</v>
      </c>
      <c r="G11" s="14"/>
      <c r="H11" s="3" t="s">
        <v>59</v>
      </c>
      <c r="I11" s="3"/>
      <c r="J11" s="3"/>
      <c r="K11" s="3"/>
      <c r="L11" s="3"/>
      <c r="M11" s="24" t="s">
        <v>10</v>
      </c>
      <c r="N11" t="s">
        <v>61</v>
      </c>
    </row>
    <row r="12" spans="1:14" x14ac:dyDescent="0.25">
      <c r="B12" t="s">
        <v>44</v>
      </c>
      <c r="E12">
        <v>10</v>
      </c>
      <c r="G12" s="14"/>
      <c r="H12" s="3" t="s">
        <v>60</v>
      </c>
      <c r="I12" s="3"/>
      <c r="J12" s="3"/>
      <c r="K12" s="3"/>
      <c r="N12" t="s">
        <v>62</v>
      </c>
    </row>
    <row r="13" spans="1:14" x14ac:dyDescent="0.25">
      <c r="B13" t="s">
        <v>45</v>
      </c>
      <c r="E13">
        <v>11</v>
      </c>
      <c r="N13" t="s">
        <v>63</v>
      </c>
    </row>
    <row r="14" spans="1:14" x14ac:dyDescent="0.25">
      <c r="B14" t="s">
        <v>46</v>
      </c>
      <c r="E14">
        <v>12</v>
      </c>
      <c r="N14" t="s">
        <v>64</v>
      </c>
    </row>
    <row r="15" spans="1:14" ht="18" x14ac:dyDescent="0.35">
      <c r="B15" t="s">
        <v>47</v>
      </c>
      <c r="E15">
        <v>13</v>
      </c>
      <c r="N15" t="s">
        <v>65</v>
      </c>
    </row>
    <row r="16" spans="1:14" x14ac:dyDescent="0.25">
      <c r="B16" t="s">
        <v>48</v>
      </c>
      <c r="E16">
        <v>14</v>
      </c>
    </row>
    <row r="17" spans="2:16" ht="18" x14ac:dyDescent="0.35">
      <c r="B17" t="s">
        <v>49</v>
      </c>
      <c r="E17">
        <v>15</v>
      </c>
      <c r="M17" s="24" t="s">
        <v>12</v>
      </c>
      <c r="N17" t="s">
        <v>66</v>
      </c>
    </row>
    <row r="18" spans="2:16" x14ac:dyDescent="0.25">
      <c r="B18" t="s">
        <v>50</v>
      </c>
      <c r="E18">
        <v>16</v>
      </c>
      <c r="N18" t="s">
        <v>67</v>
      </c>
    </row>
    <row r="19" spans="2:16" x14ac:dyDescent="0.25">
      <c r="B19" t="s">
        <v>51</v>
      </c>
      <c r="E19">
        <v>17</v>
      </c>
      <c r="N19" t="s">
        <v>68</v>
      </c>
    </row>
    <row r="20" spans="2:16" x14ac:dyDescent="0.25">
      <c r="B20" t="s">
        <v>12</v>
      </c>
      <c r="N20" t="s">
        <v>69</v>
      </c>
    </row>
    <row r="21" spans="2:16" x14ac:dyDescent="0.25">
      <c r="B21" s="20">
        <f>VLOOKUP(Pocetna!M7,B3:E19,4,FALSE)</f>
        <v>10</v>
      </c>
      <c r="N21" t="s">
        <v>70</v>
      </c>
    </row>
    <row r="22" spans="2:16" x14ac:dyDescent="0.25">
      <c r="B22" s="12"/>
      <c r="N22" t="s">
        <v>71</v>
      </c>
    </row>
    <row r="23" spans="2:16" x14ac:dyDescent="0.25">
      <c r="B23" s="13"/>
    </row>
    <row r="24" spans="2:16" x14ac:dyDescent="0.25">
      <c r="B24" s="38"/>
      <c r="M24" s="24" t="s">
        <v>13</v>
      </c>
      <c r="N24" t="s">
        <v>14</v>
      </c>
      <c r="P24" s="4">
        <v>0.2</v>
      </c>
    </row>
    <row r="25" spans="2:16" x14ac:dyDescent="0.25">
      <c r="B25" s="39"/>
      <c r="N25" t="s">
        <v>15</v>
      </c>
      <c r="P25" s="4">
        <v>0.22</v>
      </c>
    </row>
    <row r="26" spans="2:16" x14ac:dyDescent="0.25">
      <c r="N26" t="s">
        <v>16</v>
      </c>
      <c r="P26" s="4">
        <v>0.27</v>
      </c>
    </row>
    <row r="27" spans="2:16" x14ac:dyDescent="0.25">
      <c r="N27" t="s">
        <v>17</v>
      </c>
      <c r="P27" s="4">
        <v>0.28000000000000003</v>
      </c>
    </row>
    <row r="28" spans="2:16" x14ac:dyDescent="0.25">
      <c r="N28" t="s">
        <v>18</v>
      </c>
      <c r="P28" s="4">
        <v>0.9</v>
      </c>
    </row>
    <row r="29" spans="2:16" x14ac:dyDescent="0.25">
      <c r="N29" t="s">
        <v>19</v>
      </c>
      <c r="P29" s="4">
        <v>0.33</v>
      </c>
    </row>
    <row r="30" spans="2:16" x14ac:dyDescent="0.25">
      <c r="N30" t="s">
        <v>23</v>
      </c>
      <c r="P30" s="4">
        <v>0</v>
      </c>
    </row>
    <row r="31" spans="2:16" x14ac:dyDescent="0.25">
      <c r="N31" t="s">
        <v>20</v>
      </c>
      <c r="P31" s="4">
        <v>0.4</v>
      </c>
    </row>
    <row r="32" spans="2:16" x14ac:dyDescent="0.25">
      <c r="N32" t="s">
        <v>21</v>
      </c>
      <c r="P32" s="4">
        <v>0.33</v>
      </c>
    </row>
    <row r="33" spans="14:16" x14ac:dyDescent="0.25">
      <c r="N33" t="s">
        <v>22</v>
      </c>
      <c r="P33" s="4">
        <v>0</v>
      </c>
    </row>
    <row r="34" spans="14:16" x14ac:dyDescent="0.25">
      <c r="N34" t="s">
        <v>177</v>
      </c>
      <c r="P34" s="51">
        <f>[1]KonvFaktor!$E$16</f>
        <v>0.32857142857142857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P24"/>
  <sheetViews>
    <sheetView topLeftCell="A2" workbookViewId="0">
      <selection activeCell="O2" sqref="O2:P3"/>
    </sheetView>
  </sheetViews>
  <sheetFormatPr defaultRowHeight="15" x14ac:dyDescent="0.25"/>
  <cols>
    <col min="5" max="5" width="16.85546875" customWidth="1"/>
    <col min="6" max="6" width="15.28515625" customWidth="1"/>
    <col min="12" max="12" width="19.85546875" customWidth="1"/>
    <col min="13" max="13" width="14" customWidth="1"/>
  </cols>
  <sheetData>
    <row r="2" spans="2:16" x14ac:dyDescent="0.25">
      <c r="B2" s="61" t="s">
        <v>105</v>
      </c>
      <c r="C2" s="61"/>
      <c r="D2" s="61"/>
      <c r="E2" s="61"/>
      <c r="F2" s="1" t="s">
        <v>1</v>
      </c>
      <c r="I2" s="59" t="s">
        <v>105</v>
      </c>
      <c r="J2" s="59"/>
      <c r="K2" s="59"/>
      <c r="L2" s="59"/>
      <c r="M2" s="1" t="s">
        <v>24</v>
      </c>
      <c r="O2" s="56" t="s">
        <v>161</v>
      </c>
      <c r="P2" s="56"/>
    </row>
    <row r="3" spans="2:16" x14ac:dyDescent="0.25">
      <c r="O3" s="56"/>
      <c r="P3" s="56"/>
    </row>
    <row r="4" spans="2:16" x14ac:dyDescent="0.25">
      <c r="B4" s="60" t="s">
        <v>52</v>
      </c>
      <c r="C4" s="60"/>
      <c r="D4" s="60"/>
      <c r="E4" s="60"/>
      <c r="F4" s="10">
        <v>5000</v>
      </c>
      <c r="I4" s="57" t="s">
        <v>61</v>
      </c>
      <c r="J4" s="57"/>
      <c r="K4" s="57"/>
      <c r="L4" s="57"/>
      <c r="M4" s="4">
        <v>0</v>
      </c>
    </row>
    <row r="5" spans="2:16" x14ac:dyDescent="0.25">
      <c r="B5" s="60" t="s">
        <v>53</v>
      </c>
      <c r="C5" s="60"/>
      <c r="D5" s="60"/>
      <c r="E5" s="60"/>
      <c r="F5" s="10">
        <v>2000</v>
      </c>
      <c r="I5" s="57" t="s">
        <v>62</v>
      </c>
      <c r="J5" s="57"/>
      <c r="K5" s="57"/>
      <c r="L5" s="57"/>
      <c r="M5" s="8">
        <v>1</v>
      </c>
      <c r="O5" s="55" t="s">
        <v>160</v>
      </c>
      <c r="P5" s="55"/>
    </row>
    <row r="6" spans="2:16" x14ac:dyDescent="0.25">
      <c r="B6" s="60" t="s">
        <v>54</v>
      </c>
      <c r="C6" s="60"/>
      <c r="D6" s="60"/>
      <c r="E6" s="60"/>
      <c r="F6" s="10">
        <v>80000</v>
      </c>
      <c r="I6" s="57" t="s">
        <v>63</v>
      </c>
      <c r="J6" s="57"/>
      <c r="K6" s="57"/>
      <c r="L6" s="57"/>
      <c r="M6" s="31">
        <v>0.03</v>
      </c>
      <c r="O6" s="55"/>
      <c r="P6" s="55"/>
    </row>
    <row r="7" spans="2:16" x14ac:dyDescent="0.25">
      <c r="B7" s="60" t="s">
        <v>55</v>
      </c>
      <c r="C7" s="60"/>
      <c r="D7" s="60"/>
      <c r="E7" s="60"/>
      <c r="F7" s="10">
        <v>20000</v>
      </c>
      <c r="I7" s="57" t="s">
        <v>64</v>
      </c>
      <c r="J7" s="57"/>
      <c r="K7" s="57"/>
      <c r="L7" s="57"/>
      <c r="M7" s="31">
        <v>0.05</v>
      </c>
    </row>
    <row r="8" spans="2:16" x14ac:dyDescent="0.25">
      <c r="B8" s="60" t="s">
        <v>56</v>
      </c>
      <c r="C8" s="60"/>
      <c r="D8" s="60"/>
      <c r="E8" s="60"/>
      <c r="F8" s="10">
        <v>25000</v>
      </c>
      <c r="I8" s="57" t="s">
        <v>108</v>
      </c>
      <c r="J8" s="57"/>
      <c r="K8" s="57"/>
      <c r="L8" s="57"/>
      <c r="M8" s="32">
        <v>55</v>
      </c>
    </row>
    <row r="9" spans="2:16" x14ac:dyDescent="0.25">
      <c r="B9" s="60" t="s">
        <v>57</v>
      </c>
      <c r="C9" s="60"/>
      <c r="D9" s="60"/>
      <c r="E9" s="60"/>
      <c r="F9" s="10">
        <v>1500</v>
      </c>
      <c r="I9" s="35"/>
      <c r="J9" s="35"/>
      <c r="K9" s="35"/>
      <c r="L9" s="35"/>
      <c r="M9" s="32"/>
    </row>
    <row r="10" spans="2:16" x14ac:dyDescent="0.25">
      <c r="B10" s="60" t="s">
        <v>58</v>
      </c>
      <c r="C10" s="60"/>
      <c r="D10" s="60"/>
      <c r="E10" s="60"/>
      <c r="F10" s="10">
        <v>1500</v>
      </c>
      <c r="I10" s="35"/>
      <c r="J10" s="35"/>
      <c r="K10" s="35"/>
      <c r="L10" s="35"/>
      <c r="M10" s="32"/>
    </row>
    <row r="11" spans="2:16" x14ac:dyDescent="0.25">
      <c r="B11" s="60" t="s">
        <v>12</v>
      </c>
      <c r="C11" s="60"/>
      <c r="D11" s="60"/>
      <c r="E11" s="60"/>
      <c r="F11" s="10">
        <v>2000</v>
      </c>
      <c r="I11" s="35"/>
      <c r="J11" s="35"/>
      <c r="K11" s="35"/>
      <c r="L11" s="35"/>
      <c r="M11" s="32"/>
    </row>
    <row r="12" spans="2:16" x14ac:dyDescent="0.25">
      <c r="B12" s="60" t="s">
        <v>59</v>
      </c>
      <c r="C12" s="60"/>
      <c r="D12" s="60"/>
      <c r="E12" s="60"/>
      <c r="F12" s="10">
        <v>2000</v>
      </c>
      <c r="I12" s="58"/>
      <c r="J12" s="58"/>
      <c r="K12" s="58"/>
      <c r="L12" s="58"/>
      <c r="M12" s="8"/>
    </row>
    <row r="13" spans="2:16" x14ac:dyDescent="0.25">
      <c r="B13" s="60" t="s">
        <v>60</v>
      </c>
      <c r="C13" s="60"/>
      <c r="D13" s="60"/>
      <c r="E13" s="60"/>
      <c r="F13" s="10">
        <v>5000</v>
      </c>
      <c r="I13" s="57" t="s">
        <v>69</v>
      </c>
      <c r="J13" s="57"/>
      <c r="K13" s="57"/>
      <c r="L13" s="57"/>
      <c r="M13" s="31">
        <v>0.04</v>
      </c>
    </row>
    <row r="14" spans="2:16" x14ac:dyDescent="0.25">
      <c r="B14" s="29"/>
      <c r="C14" s="29"/>
      <c r="D14" s="29"/>
      <c r="E14" s="30" t="s">
        <v>106</v>
      </c>
      <c r="F14" s="9">
        <f>SUM(F4:F13)</f>
        <v>144000</v>
      </c>
      <c r="I14" s="57" t="s">
        <v>70</v>
      </c>
      <c r="J14" s="57"/>
      <c r="K14" s="57"/>
      <c r="L14" s="57"/>
      <c r="M14" s="31">
        <v>2.5000000000000001E-2</v>
      </c>
    </row>
    <row r="15" spans="2:16" x14ac:dyDescent="0.25">
      <c r="I15" s="57" t="s">
        <v>67</v>
      </c>
      <c r="J15" s="57"/>
      <c r="K15" s="57"/>
      <c r="L15" s="57"/>
      <c r="M15" s="33">
        <v>8</v>
      </c>
    </row>
    <row r="16" spans="2:16" x14ac:dyDescent="0.25">
      <c r="B16" s="57" t="s">
        <v>5</v>
      </c>
      <c r="C16" s="57"/>
      <c r="D16" s="57"/>
      <c r="E16" s="57"/>
      <c r="F16" s="10">
        <v>30000</v>
      </c>
      <c r="I16" s="57" t="s">
        <v>71</v>
      </c>
      <c r="J16" s="57"/>
      <c r="K16" s="57"/>
      <c r="L16" s="57"/>
      <c r="M16" s="10" t="s">
        <v>14</v>
      </c>
    </row>
    <row r="17" spans="2:13" x14ac:dyDescent="0.25">
      <c r="B17" s="57"/>
      <c r="C17" s="57"/>
      <c r="D17" s="57"/>
      <c r="E17" s="57"/>
      <c r="F17" s="10"/>
      <c r="I17" s="57" t="s">
        <v>109</v>
      </c>
      <c r="J17" s="57"/>
      <c r="K17" s="57"/>
      <c r="L17" s="57"/>
      <c r="M17" s="4">
        <f>VLOOKUP(M16,PomTab1!N24:P34,3,FALSE)</f>
        <v>0.2</v>
      </c>
    </row>
    <row r="18" spans="2:13" x14ac:dyDescent="0.25">
      <c r="B18" s="57"/>
      <c r="C18" s="57"/>
      <c r="D18" s="57"/>
      <c r="E18" s="57"/>
      <c r="F18" s="4"/>
      <c r="I18" s="57" t="s">
        <v>68</v>
      </c>
      <c r="J18" s="57"/>
      <c r="K18" s="57"/>
      <c r="L18" s="57"/>
      <c r="M18" s="11">
        <v>20</v>
      </c>
    </row>
    <row r="19" spans="2:13" x14ac:dyDescent="0.25">
      <c r="B19" s="57"/>
      <c r="C19" s="57"/>
      <c r="D19" s="57"/>
      <c r="E19" s="57"/>
    </row>
    <row r="20" spans="2:13" x14ac:dyDescent="0.25">
      <c r="B20" s="57"/>
      <c r="C20" s="57"/>
      <c r="D20" s="57"/>
      <c r="E20" s="57"/>
      <c r="I20" s="3"/>
      <c r="J20" s="3"/>
      <c r="K20" s="3"/>
      <c r="L20" s="3"/>
      <c r="M20" s="15"/>
    </row>
    <row r="21" spans="2:13" x14ac:dyDescent="0.25">
      <c r="B21" s="57" t="s">
        <v>9</v>
      </c>
      <c r="C21" s="57"/>
      <c r="D21" s="57"/>
      <c r="E21" s="57"/>
      <c r="F21" s="10">
        <v>25000</v>
      </c>
      <c r="I21" s="3"/>
      <c r="J21" s="3"/>
      <c r="K21" s="3"/>
      <c r="L21" s="3"/>
      <c r="M21" s="4"/>
    </row>
    <row r="22" spans="2:13" x14ac:dyDescent="0.25">
      <c r="E22" s="6" t="s">
        <v>106</v>
      </c>
      <c r="F22" s="4">
        <f>IF(SUM(F16:F21)&gt;F14,FALSE,SUM(F16:F21))</f>
        <v>55000</v>
      </c>
      <c r="I22" s="3"/>
      <c r="J22" s="3"/>
      <c r="K22" s="3"/>
      <c r="L22" s="3"/>
      <c r="M22" s="15"/>
    </row>
    <row r="23" spans="2:13" x14ac:dyDescent="0.25">
      <c r="F23" s="4"/>
    </row>
    <row r="24" spans="2:13" x14ac:dyDescent="0.25">
      <c r="E24" s="5" t="s">
        <v>107</v>
      </c>
      <c r="F24" s="4">
        <f>F14-F22</f>
        <v>89000</v>
      </c>
    </row>
  </sheetData>
  <sheetProtection selectLockedCells="1"/>
  <mergeCells count="32">
    <mergeCell ref="O2:P3"/>
    <mergeCell ref="O5:P6"/>
    <mergeCell ref="B9:E9"/>
    <mergeCell ref="B11:E11"/>
    <mergeCell ref="B10:E10"/>
    <mergeCell ref="I5:L5"/>
    <mergeCell ref="I6:L6"/>
    <mergeCell ref="I7:L7"/>
    <mergeCell ref="I8:L8"/>
    <mergeCell ref="B6:E6"/>
    <mergeCell ref="I4:L4"/>
    <mergeCell ref="I14:L14"/>
    <mergeCell ref="I15:L15"/>
    <mergeCell ref="I16:L16"/>
    <mergeCell ref="I17:L17"/>
    <mergeCell ref="I18:L18"/>
    <mergeCell ref="I13:L13"/>
    <mergeCell ref="I12:L12"/>
    <mergeCell ref="B20:E20"/>
    <mergeCell ref="B21:E21"/>
    <mergeCell ref="I2:L2"/>
    <mergeCell ref="B16:E16"/>
    <mergeCell ref="B17:E17"/>
    <mergeCell ref="B18:E18"/>
    <mergeCell ref="B19:E19"/>
    <mergeCell ref="B7:E7"/>
    <mergeCell ref="B8:E8"/>
    <mergeCell ref="B12:E12"/>
    <mergeCell ref="B13:E13"/>
    <mergeCell ref="B2:E2"/>
    <mergeCell ref="B4:E4"/>
    <mergeCell ref="B5:E5"/>
  </mergeCells>
  <dataValidations count="20">
    <dataValidation type="whole" allowBlank="1" showInputMessage="1" showErrorMessage="1" errorTitle="Restriction" error="Ne može biti više od 100.000 EUR" promptTitle="Project planning" prompt="Unesi troškove planiranja projekta" sqref="F4">
      <formula1>0</formula1>
      <formula2>100000</formula2>
    </dataValidation>
    <dataValidation type="whole" allowBlank="1" showInputMessage="1" showErrorMessage="1" errorTitle="Restriction" error="Ne može biti više od 100.000 EUR" promptTitle="Supervision &amp; Project management" prompt="Unesi planirani iznos za nadzor i upravljanje projektom" sqref="F5">
      <formula1>0</formula1>
      <formula2>100000</formula2>
    </dataValidation>
    <dataValidation type="whole" allowBlank="1" showInputMessage="1" showErrorMessage="1" errorTitle="Restriction" error="Ne može biti više od 10.000.000 EUR" promptTitle="DHGEM" prompt="Materijal i oprema" sqref="F6">
      <formula1>0</formula1>
      <formula2>10000000</formula2>
    </dataValidation>
    <dataValidation type="whole" allowBlank="1" showInputMessage="1" showErrorMessage="1" errorTitle="Restriction" error="Ne može biti više od 100.000 EUR" promptTitle="Installation of TSV &amp; CA" prompt="Troškovi instalacije TS ventila i alokatora troškova" sqref="F7">
      <formula1>0</formula1>
      <formula2>100000</formula2>
    </dataValidation>
    <dataValidation type="whole" allowBlank="1" showInputMessage="1" showErrorMessage="1" errorTitle="Restriction" error="Ne mođe biti više od 100.000 EUR" promptTitle="Procurement of heat meters" prompt="Nabavka merila toplote" sqref="F8:F11">
      <formula1>0</formula1>
      <formula2>100000</formula2>
    </dataValidation>
    <dataValidation type="whole" allowBlank="1" showInputMessage="1" showErrorMessage="1" errorTitle="Restriction" error="Ne može biti više od 100.000 EUR" promptTitle="Installation of heat meters" prompt="Instalacija merila toplote" sqref="F12">
      <formula1>0</formula1>
      <formula2>100000</formula2>
    </dataValidation>
    <dataValidation type="whole" allowBlank="1" showInputMessage="1" showErrorMessage="1" errorTitle="Restriction" error="Ne može biti više od 100.000 EUR" promptTitle="Hydraulic Balancing" prompt="Hidraulično balansiranje i setovanje početnih podataka" sqref="F13">
      <formula1>0</formula1>
      <formula2>100000</formula2>
    </dataValidation>
    <dataValidation type="whole" allowBlank="1" showInputMessage="1" showErrorMessage="1" errorTitle="Restriction" error="Maksimalni iznos do 100.000 EUR" promptTitle="Grant scheme" prompt="Unesi iznos granta ili učešća krajnjih korisnika ili sopstveni kapital javne ESCO kompanije" sqref="F16:F21">
      <formula1>0</formula1>
      <formula2>100000</formula2>
    </dataValidation>
    <dataValidation type="whole" allowBlank="1" showInputMessage="1" showErrorMessage="1" errorTitle="Restriction" error="Iznos ne može biti veći od 50.000 EUR godišnje" promptTitle="ESCOCOST" prompt="Iznos godišnjih troškova poslovanja ESCO koji se odnose na projekat. Preporučuje se vrednost do 1% od investicije." sqref="M4">
      <formula1>0</formula1>
      <formula2>50000</formula2>
    </dataValidation>
    <dataValidation type="decimal" allowBlank="1" showInputMessage="1" showErrorMessage="1" errorTitle="Restriction" error="Iznos ne može biti veći od 100%" promptTitle="ESCOFEE" prompt="Iznos godišnjih troškova prihoda ESCO od projekta. Ako se unese 100% smatra se da sav prihod od ušteda zadržava ESCO._x000a_Ako se unese manje od 100% onda razlika od unete vrednosti do 100% se dodeljuje krajnjim korisnicima." sqref="M5">
      <formula1>0</formula1>
      <formula2>1</formula2>
    </dataValidation>
    <dataValidation type="decimal" allowBlank="1" showInputMessage="1" showErrorMessage="1" errorTitle="Restriction" error="Iznos ne može biti veći od 10%" promptTitle="MAINCOST" prompt="Troškovi godišnjeg održavanja. Preporučuje se maksimalni iznos 10%." sqref="M6">
      <formula1>0</formula1>
      <formula2>0.1</formula2>
    </dataValidation>
    <dataValidation type="decimal" allowBlank="1" showInputMessage="1" showErrorMessage="1" errorTitle="Restriction" error="Iznos ne može biti veći od 7%" promptTitle="DA" prompt="Troškovi godišnjeg održavanja. Preporučuje se maksimalan iznos 5%, izuzev za PV panele i Alokatore troškova gde je preporučeni iznos 7%." sqref="M7">
      <formula1>0</formula1>
      <formula2>0.07</formula2>
    </dataValidation>
    <dataValidation type="whole" allowBlank="1" showInputMessage="1" showErrorMessage="1" errorTitle="Restriction" error="Iznos ne može biti veći od 110 EUR/t CO2" promptTitle="CO2TAX" prompt="Preporučuje se iznos 55 EUR/t CO2." sqref="M8:M11">
      <formula1>0</formula1>
      <formula2>110</formula2>
    </dataValidation>
    <dataValidation type="decimal" allowBlank="1" showInputMessage="1" showErrorMessage="1" errorTitle="Restriction" error="Dozvoljen iznos najviše 10%" promptTitle="DR" prompt="Preporučuje se diskontna stopa 3% ili 4% za investicije javnog sektora i 7% ili 10% za investicije privatnog sektora." sqref="M13">
      <formula1>0</formula1>
      <formula2>0.1</formula2>
    </dataValidation>
    <dataValidation type="decimal" allowBlank="1" showInputMessage="1" showErrorMessage="1" errorTitle="Restriction" error="Nije dozvoljen iznos veći od 7.5%" promptTitle="IR" prompt="Preporučuje se iznos kamatne stope 2.5% do 4%" sqref="M14">
      <formula1>0</formula1>
      <formula2>0.075</formula2>
    </dataValidation>
    <dataValidation type="whole" allowBlank="1" showInputMessage="1" showErrorMessage="1" errorTitle="Restriction" error="Maksimalno dozvoljen period 20 godina" promptTitle="GSTF" prompt="Preporučuje se period 12 do 15 godina za mere energetske efikasnosti u zgradama, a 15 do 20 godina za ostale projekte." sqref="M15">
      <formula1>0</formula1>
      <formula2>20</formula2>
    </dataValidation>
    <dataValidation type="whole" allowBlank="1" showInputMessage="1" showErrorMessage="1" errorTitle="Restriction" error="Polje se ne popunjava" promptTitle="Vremeski okvir projekta" prompt="Preporučuje se:_x000a_7 godina za TS ventile_x000a_15 godina za SCADA_x000a_20 godina ostalo" sqref="M18">
      <formula1>0</formula1>
      <formula2>20</formula2>
    </dataValidation>
    <dataValidation type="whole" allowBlank="1" showInputMessage="1" showErrorMessage="1" errorTitle="Restriction" error="Maksimalno dozvoljen broj 10.000" promptTitle="NCAHM" prompt="Unesi broj alokatora troškova ili merila" sqref="M20">
      <formula1>0</formula1>
      <formula2>10000</formula2>
    </dataValidation>
    <dataValidation type="decimal" allowBlank="1" showInputMessage="1" showErrorMessage="1" errorTitle="Restriction" error="Iznos jednog očitavanja ne može biti veći od 10 EUR" promptTitle="READINGCOST" prompt="Troškovi jednog očitavanja. Preporučuje se vrednost 1.50 EUR/očitavanju" sqref="M21">
      <formula1>0</formula1>
      <formula2>10</formula2>
    </dataValidation>
    <dataValidation type="decimal" allowBlank="1" showInputMessage="1" showErrorMessage="1" errorTitle="Restriction" error="Minimalno jedno očitavanje tokom godine a ne više od 12" promptTitle="READINGNO" prompt="Broj očitavanja. Preporučuje se vrednost 1, 2, 7 ili 12 očitavanja tokom godine." sqref="M22">
      <formula1>1</formula1>
      <formula2>12</formula2>
    </dataValidation>
  </dataValidations>
  <hyperlinks>
    <hyperlink ref="O2:P3" location="Ustede!A2" display="DALJE"/>
    <hyperlink ref="O5:P6" location="Pocetna!M9" display="NAZAD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errorTitle="Restriction" error="Prihvatljive su samo ponuđene opcije" promptTitle="Grant&amp;Equity" prompt="Šeme podsticaja (grantovi) i učešće sopstvenog kapitala u finansiranju mera EE i OIE">
          <x14:formula1>
            <xm:f>PomTab1!$N$3:$N$9</xm:f>
          </x14:formula1>
          <xm:sqref>B16:E21</xm:sqref>
        </x14:dataValidation>
        <x14:dataValidation type="list" allowBlank="1" showInputMessage="1" showErrorMessage="1" errorTitle="Restriction" error="Samo stavke ponuđene u listi" promptTitle="CO2 Tax" prompt="Iznos karbon takse">
          <x14:formula1>
            <xm:f>PomTab1!$N$11:$N$16</xm:f>
          </x14:formula1>
          <xm:sqref>I8:L11</xm:sqref>
        </x14:dataValidation>
        <x14:dataValidation type="list" allowBlank="1" showInputMessage="1" showErrorMessage="1" errorTitle="Restriction" error="Samo stavke ponuđene u listi" promptTitle="Operational costs" prompt="Godišnji operativni troškovi ESCO vezani za projekat">
          <x14:formula1>
            <xm:f>PomTab1!$N$11:$N$16</xm:f>
          </x14:formula1>
          <xm:sqref>I4:L4</xm:sqref>
        </x14:dataValidation>
        <x14:dataValidation type="list" allowBlank="1" showInputMessage="1" showErrorMessage="1" errorTitle="Restriction" error="Samo stavke ponuđene u listi" promptTitle="ESCO fee" prompt="Nadoknada/stimulacija koju ESCO odobrava krajnjim korisnicima">
          <x14:formula1>
            <xm:f>PomTab1!$N$11:$N$16</xm:f>
          </x14:formula1>
          <xm:sqref>I5:L5</xm:sqref>
        </x14:dataValidation>
        <x14:dataValidation type="list" allowBlank="1" showInputMessage="1" showErrorMessage="1" errorTitle="Restriction" error="Samo stavke ponuđene u listi" promptTitle="Meintenance cots" prompt="Troškovi godišnjeg održavanja">
          <x14:formula1>
            <xm:f>PomTab1!$N$11:$N$16</xm:f>
          </x14:formula1>
          <xm:sqref>I6:L6</xm:sqref>
        </x14:dataValidation>
        <x14:dataValidation type="list" allowBlank="1" showInputMessage="1" showErrorMessage="1" errorTitle="Restriction" error="Samo stavke ponuđene u listi" promptTitle="Amortization and depreciation" prompt="Amortizacija materijalnih dobara i deprecijacija intelektualne svojine">
          <x14:formula1>
            <xm:f>PomTab1!$N$11:$N$16</xm:f>
          </x14:formula1>
          <xm:sqref>I7:L7</xm:sqref>
        </x14:dataValidation>
        <x14:dataValidation type="list" allowBlank="1" showInputMessage="1" showErrorMessage="1" errorTitle="Restriction" error="Može se izabrati samo ponuđena opcija." promptTitle="Time frame" prompt="Ne popunjavati">
          <x14:formula1>
            <xm:f>PomTab1!$N$17:$N$22</xm:f>
          </x14:formula1>
          <xm:sqref>I18:L18</xm:sqref>
        </x14:dataValidation>
        <x14:dataValidation type="list" allowBlank="1" showInputMessage="1" showErrorMessage="1" errorTitle="Restriction" error="Može se izabrati samo ponuđena opcija." promptTitle="Interest rate" prompt="Kamatna stopa">
          <x14:formula1>
            <xm:f>PomTab1!$N$17:$N$22</xm:f>
          </x14:formula1>
          <xm:sqref>I14:L14</xm:sqref>
        </x14:dataValidation>
        <x14:dataValidation type="list" allowBlank="1" showInputMessage="1" showErrorMessage="1" errorTitle="Restriction" error="Može se izabrati samo ponuđena opcija." promptTitle="Discount rate" prompt="Diskontna stopa">
          <x14:formula1>
            <xm:f>PomTab1!$N$17:$N$22</xm:f>
          </x14:formula1>
          <xm:sqref>I13:L13</xm:sqref>
        </x14:dataValidation>
        <x14:dataValidation type="list" allowBlank="1" showInputMessage="1" showErrorMessage="1" errorTitle="Restriction" error="Može se izabrati samo ponuđena opcija." promptTitle="Pay-off period / garantee servic" prompt="Period otplate investicije ili period u kome se usluga ugovara">
          <x14:formula1>
            <xm:f>PomTab1!$N$17:$N$22</xm:f>
          </x14:formula1>
          <xm:sqref>I15:L15</xm:sqref>
        </x14:dataValidation>
        <x14:dataValidation type="list" allowBlank="1" showInputMessage="1" showErrorMessage="1" errorTitle="Restriction" error="Može se izabrati samo ponuđena opcija." promptTitle="Conversion factor" prompt="Faktor konverzije za izračunavanje emisije CO2">
          <x14:formula1>
            <xm:f>PomTab1!$N$17:$N$22</xm:f>
          </x14:formula1>
          <xm:sqref>I16:L17</xm:sqref>
        </x14:dataValidation>
        <x14:dataValidation type="list" allowBlank="1" showInputMessage="1" showErrorMessage="1" errorTitle="Restriction" error="Izabrati sa liste" promptTitle="FUELENERGY" prompt="Vrsta goriva ili energije">
          <x14:formula1>
            <xm:f>PomTab1!$N$24:$N$34</xm:f>
          </x14:formula1>
          <xm:sqref>M16</xm:sqref>
        </x14:dataValidation>
        <x14:dataValidation type="list" allowBlank="1" showInputMessage="1" showErrorMessage="1" errorTitle="Restriction" error="Moguće je uneti samo ponuđene opcije" promptTitle="Costs" prompt="Unesi troškove projekta">
          <x14:formula1>
            <xm:f>PomTab1!$H$3:$H$12</xm:f>
          </x14:formula1>
          <xm:sqref>B4:E4 B5:E5 B6:E6 B7:E7 B8:E8 B13:E13 B11:E11 B12:E12 C9:E9 B9 B10:E10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"/>
  <sheetViews>
    <sheetView workbookViewId="0">
      <selection activeCell="O4" sqref="O4:P5"/>
    </sheetView>
  </sheetViews>
  <sheetFormatPr defaultRowHeight="15" x14ac:dyDescent="0.25"/>
  <cols>
    <col min="6" max="6" width="12.42578125" customWidth="1"/>
    <col min="7" max="7" width="13.5703125" customWidth="1"/>
    <col min="8" max="8" width="26.42578125" customWidth="1"/>
    <col min="9" max="9" width="16.140625" customWidth="1"/>
  </cols>
  <sheetData>
    <row r="2" spans="1:16" ht="21" x14ac:dyDescent="0.35">
      <c r="A2" s="62" t="s">
        <v>85</v>
      </c>
      <c r="B2" s="62"/>
      <c r="C2" s="62"/>
      <c r="D2" s="62"/>
      <c r="E2" s="62"/>
      <c r="F2" s="62"/>
    </row>
    <row r="4" spans="1:16" x14ac:dyDescent="0.25">
      <c r="A4" t="s">
        <v>86</v>
      </c>
      <c r="F4" s="42">
        <v>7000</v>
      </c>
      <c r="G4" s="36" t="s">
        <v>96</v>
      </c>
      <c r="H4" s="2" t="s">
        <v>101</v>
      </c>
      <c r="I4" t="s">
        <v>72</v>
      </c>
      <c r="J4" s="36" t="s">
        <v>73</v>
      </c>
      <c r="L4" s="55" t="s">
        <v>160</v>
      </c>
      <c r="M4" s="55"/>
      <c r="O4" s="56" t="s">
        <v>161</v>
      </c>
      <c r="P4" s="56"/>
    </row>
    <row r="5" spans="1:16" x14ac:dyDescent="0.25">
      <c r="A5" t="s">
        <v>87</v>
      </c>
      <c r="F5" s="43">
        <v>4500</v>
      </c>
      <c r="G5" s="36" t="s">
        <v>97</v>
      </c>
      <c r="H5" s="63" t="s">
        <v>102</v>
      </c>
      <c r="I5" s="40" t="s">
        <v>74</v>
      </c>
      <c r="J5" s="41">
        <v>10.776999999999999</v>
      </c>
      <c r="L5" s="55"/>
      <c r="M5" s="55"/>
      <c r="O5" s="56"/>
      <c r="P5" s="56"/>
    </row>
    <row r="6" spans="1:16" x14ac:dyDescent="0.25">
      <c r="A6" t="s">
        <v>88</v>
      </c>
      <c r="F6" s="43">
        <v>3570</v>
      </c>
      <c r="G6" s="36" t="s">
        <v>97</v>
      </c>
      <c r="H6" s="63"/>
      <c r="I6" s="40" t="s">
        <v>75</v>
      </c>
      <c r="J6" s="41">
        <v>12.632999999999999</v>
      </c>
    </row>
    <row r="7" spans="1:16" ht="17.25" x14ac:dyDescent="0.25">
      <c r="A7" t="s">
        <v>89</v>
      </c>
      <c r="F7" s="44">
        <v>60</v>
      </c>
      <c r="G7" s="36" t="s">
        <v>98</v>
      </c>
      <c r="H7" s="63"/>
      <c r="I7" s="40" t="s">
        <v>76</v>
      </c>
      <c r="J7" s="41">
        <v>13.029</v>
      </c>
    </row>
    <row r="8" spans="1:16" ht="17.25" x14ac:dyDescent="0.25">
      <c r="A8" t="s">
        <v>90</v>
      </c>
      <c r="F8" s="44">
        <v>12</v>
      </c>
      <c r="G8" s="36" t="s">
        <v>98</v>
      </c>
      <c r="H8" s="63"/>
      <c r="I8" s="40" t="s">
        <v>77</v>
      </c>
      <c r="J8" s="41">
        <v>13.808</v>
      </c>
    </row>
    <row r="9" spans="1:16" x14ac:dyDescent="0.25">
      <c r="A9" t="s">
        <v>91</v>
      </c>
      <c r="F9" s="46" t="s">
        <v>77</v>
      </c>
      <c r="G9" s="36" t="s">
        <v>99</v>
      </c>
      <c r="H9" s="63"/>
      <c r="I9" s="40" t="s">
        <v>78</v>
      </c>
      <c r="J9" s="41">
        <v>15.896000000000001</v>
      </c>
    </row>
    <row r="10" spans="1:16" x14ac:dyDescent="0.25">
      <c r="A10" t="s">
        <v>92</v>
      </c>
      <c r="F10" s="43">
        <v>500</v>
      </c>
      <c r="G10" s="36" t="s">
        <v>100</v>
      </c>
      <c r="H10" s="63"/>
      <c r="I10" s="40" t="s">
        <v>79</v>
      </c>
      <c r="J10" s="41">
        <v>18.728999999999999</v>
      </c>
    </row>
    <row r="11" spans="1:16" x14ac:dyDescent="0.25">
      <c r="A11" t="s">
        <v>93</v>
      </c>
      <c r="F11" s="45">
        <v>0.4</v>
      </c>
      <c r="G11" s="36" t="s">
        <v>99</v>
      </c>
      <c r="H11" s="63"/>
      <c r="I11" s="40" t="s">
        <v>80</v>
      </c>
      <c r="J11" s="41">
        <v>20.376999999999999</v>
      </c>
    </row>
    <row r="12" spans="1:16" ht="17.25" x14ac:dyDescent="0.25">
      <c r="A12" t="s">
        <v>103</v>
      </c>
      <c r="F12" s="42">
        <v>113</v>
      </c>
      <c r="G12" s="36" t="s">
        <v>104</v>
      </c>
      <c r="H12" s="63"/>
      <c r="I12" s="40" t="s">
        <v>81</v>
      </c>
      <c r="J12" s="41">
        <v>19.843</v>
      </c>
    </row>
    <row r="13" spans="1:16" x14ac:dyDescent="0.25">
      <c r="I13" s="40" t="s">
        <v>82</v>
      </c>
      <c r="J13" s="41">
        <v>22.786999999999999</v>
      </c>
    </row>
    <row r="14" spans="1:16" x14ac:dyDescent="0.25">
      <c r="A14" t="s">
        <v>94</v>
      </c>
      <c r="F14" s="47">
        <f>(13.33-1)*F11*F10*186*24*2*VLOOKUP(F9,I5:J14,2,FALSE)/10^6+(F5-F6)*4.2*(F7-F8)/3600</f>
        <v>356.08311398399997</v>
      </c>
      <c r="G14" s="36" t="s">
        <v>25</v>
      </c>
      <c r="I14" s="40" t="s">
        <v>83</v>
      </c>
      <c r="J14" s="41">
        <v>22.266999999999999</v>
      </c>
    </row>
    <row r="15" spans="1:16" x14ac:dyDescent="0.25">
      <c r="A15" t="s">
        <v>95</v>
      </c>
      <c r="F15" s="48">
        <f>((F4*F14)+(F5-F6)*F12)/Kurs_EUR</f>
        <v>22109.914952787065</v>
      </c>
      <c r="G15" s="36" t="s">
        <v>26</v>
      </c>
      <c r="I15" s="40" t="s">
        <v>84</v>
      </c>
      <c r="J15" s="41">
        <v>23.71</v>
      </c>
    </row>
  </sheetData>
  <sheetProtection selectLockedCells="1"/>
  <mergeCells count="4">
    <mergeCell ref="A2:F2"/>
    <mergeCell ref="H5:H12"/>
    <mergeCell ref="L4:M5"/>
    <mergeCell ref="O4:P5"/>
  </mergeCells>
  <dataValidations count="1">
    <dataValidation type="list" allowBlank="1" showInputMessage="1" showErrorMessage="1" errorTitle="Ograničenje" error="Može se izabrati samo pečnik naveden u listi." promptTitle="DN" prompt="Unesi prosečan prečnik deonice" sqref="F9">
      <formula1>$I$5:$I$15</formula1>
    </dataValidation>
  </dataValidations>
  <hyperlinks>
    <hyperlink ref="L4:M5" location="UnosPodataka!B2" display="NAZAD"/>
    <hyperlink ref="O4:P5" location="Anuiteti!B2" display="DALJ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workbookViewId="0">
      <selection activeCell="L4" sqref="L4:M5"/>
    </sheetView>
  </sheetViews>
  <sheetFormatPr defaultRowHeight="15" x14ac:dyDescent="0.25"/>
  <cols>
    <col min="3" max="3" width="32.140625" customWidth="1"/>
    <col min="4" max="4" width="32.28515625" customWidth="1"/>
    <col min="5" max="5" width="14.140625" customWidth="1"/>
  </cols>
  <sheetData>
    <row r="2" spans="2:13" ht="21" x14ac:dyDescent="0.35">
      <c r="B2" s="62" t="s">
        <v>110</v>
      </c>
      <c r="C2" s="62"/>
      <c r="D2" s="62"/>
      <c r="E2" s="62"/>
      <c r="F2" s="62"/>
      <c r="G2" s="62"/>
    </row>
    <row r="4" spans="2:13" x14ac:dyDescent="0.25">
      <c r="B4" t="s">
        <v>159</v>
      </c>
      <c r="D4" s="7" t="s">
        <v>1</v>
      </c>
      <c r="E4" s="16">
        <f>LOAN</f>
        <v>89000</v>
      </c>
      <c r="I4" s="55" t="s">
        <v>160</v>
      </c>
      <c r="J4" s="55"/>
      <c r="L4" s="56" t="s">
        <v>161</v>
      </c>
      <c r="M4" s="56"/>
    </row>
    <row r="5" spans="2:13" x14ac:dyDescent="0.25">
      <c r="I5" s="55"/>
      <c r="J5" s="55"/>
      <c r="L5" s="56"/>
      <c r="M5" s="56"/>
    </row>
    <row r="6" spans="2:13" x14ac:dyDescent="0.25">
      <c r="B6" s="17" t="s">
        <v>27</v>
      </c>
      <c r="C6" s="17" t="s">
        <v>111</v>
      </c>
      <c r="D6" s="17" t="s">
        <v>112</v>
      </c>
      <c r="E6" s="17" t="s">
        <v>113</v>
      </c>
    </row>
    <row r="8" spans="2:13" x14ac:dyDescent="0.25">
      <c r="B8">
        <v>1</v>
      </c>
      <c r="C8" s="4">
        <f>E4</f>
        <v>89000</v>
      </c>
      <c r="D8" s="4">
        <f>IF(UnosPodataka!M14=0,"",UnosPodataka!$M$14*Anuiteti!$E$4)</f>
        <v>2225</v>
      </c>
      <c r="E8" s="4">
        <f>PMT(UnosPodataka!$M$14,UnosPodataka!$M$15,Anuiteti!$E$4)</f>
        <v>-12412.593779056697</v>
      </c>
    </row>
    <row r="9" spans="2:13" x14ac:dyDescent="0.25">
      <c r="B9">
        <f>IF(B8&lt;UnosPodataka!$M$15,B8+1,"")</f>
        <v>2</v>
      </c>
      <c r="C9" s="4">
        <f>IF(B9&lt;&gt;"",SUM(C8:E8),"")</f>
        <v>78812.406220943303</v>
      </c>
      <c r="D9" s="4">
        <f>IF(B9&lt;&gt;"",C9*UnosPodataka!$M$14,"")</f>
        <v>1970.3101555235826</v>
      </c>
      <c r="E9" s="4">
        <f>IF(B9&lt;&gt;"",PMT(UnosPodataka!$M$14,UnosPodataka!$M$15,Anuiteti!$E$4),"")</f>
        <v>-12412.593779056697</v>
      </c>
    </row>
    <row r="10" spans="2:13" x14ac:dyDescent="0.25">
      <c r="B10">
        <f>IF(B9&lt;UnosPodataka!$M$15,B9+1,"")</f>
        <v>3</v>
      </c>
      <c r="C10" s="4">
        <f t="shared" ref="C10:C27" si="0">IF(B10&lt;&gt;"",SUM(C9:E9),"")</f>
        <v>68370.122597410184</v>
      </c>
      <c r="D10" s="4">
        <f>IF(B10&lt;&gt;"",C10*UnosPodataka!$M$14,"")</f>
        <v>1709.2530649352548</v>
      </c>
      <c r="E10" s="4">
        <f>IF(B10&lt;&gt;"",PMT(UnosPodataka!$M$14,UnosPodataka!$M$15,Anuiteti!$E$4),"")</f>
        <v>-12412.593779056697</v>
      </c>
    </row>
    <row r="11" spans="2:13" x14ac:dyDescent="0.25">
      <c r="B11">
        <f>IF(B10&lt;UnosPodataka!$M$15,B10+1,"")</f>
        <v>4</v>
      </c>
      <c r="C11" s="4">
        <f t="shared" si="0"/>
        <v>57666.781883288742</v>
      </c>
      <c r="D11" s="4">
        <f>IF(B11&lt;&gt;"",C11*UnosPodataka!$M$14,"")</f>
        <v>1441.6695470822187</v>
      </c>
      <c r="E11" s="4">
        <f>IF(B11&lt;&gt;"",PMT(UnosPodataka!$M$14,UnosPodataka!$M$15,Anuiteti!$E$4),"")</f>
        <v>-12412.593779056697</v>
      </c>
    </row>
    <row r="12" spans="2:13" x14ac:dyDescent="0.25">
      <c r="B12">
        <f>IF(B11&lt;UnosPodataka!$M$15,B11+1,"")</f>
        <v>5</v>
      </c>
      <c r="C12" s="4">
        <f t="shared" si="0"/>
        <v>46695.857651314262</v>
      </c>
      <c r="D12" s="4">
        <f>IF(B12&lt;&gt;"",C12*UnosPodataka!$M$14,"")</f>
        <v>1167.3964412828566</v>
      </c>
      <c r="E12" s="4">
        <f>IF(B12&lt;&gt;"",PMT(UnosPodataka!$M$14,UnosPodataka!$M$15,Anuiteti!$E$4),"")</f>
        <v>-12412.593779056697</v>
      </c>
    </row>
    <row r="13" spans="2:13" x14ac:dyDescent="0.25">
      <c r="B13">
        <f>IF(B12&lt;UnosPodataka!$M$15,B12+1,"")</f>
        <v>6</v>
      </c>
      <c r="C13" s="4">
        <f t="shared" si="0"/>
        <v>35450.660313540422</v>
      </c>
      <c r="D13" s="4">
        <f>IF(B13&lt;&gt;"",C13*UnosPodataka!$M$14,"")</f>
        <v>886.26650783851062</v>
      </c>
      <c r="E13" s="4">
        <f>IF(B13&lt;&gt;"",PMT(UnosPodataka!$M$14,UnosPodataka!$M$15,Anuiteti!$E$4),"")</f>
        <v>-12412.593779056697</v>
      </c>
    </row>
    <row r="14" spans="2:13" x14ac:dyDescent="0.25">
      <c r="B14">
        <f>IF(B13&lt;UnosPodataka!$M$15,B13+1,"")</f>
        <v>7</v>
      </c>
      <c r="C14" s="4">
        <f t="shared" si="0"/>
        <v>23924.333042322236</v>
      </c>
      <c r="D14" s="4">
        <f>IF(B14&lt;&gt;"",C14*UnosPodataka!$M$14,"")</f>
        <v>598.10832605805592</v>
      </c>
      <c r="E14" s="4">
        <f>IF(B14&lt;&gt;"",PMT(UnosPodataka!$M$14,UnosPodataka!$M$15,Anuiteti!$E$4),"")</f>
        <v>-12412.593779056697</v>
      </c>
    </row>
    <row r="15" spans="2:13" x14ac:dyDescent="0.25">
      <c r="B15">
        <f>IF(B14&lt;UnosPodataka!$M$15,B14+1,"")</f>
        <v>8</v>
      </c>
      <c r="C15" s="4">
        <f t="shared" si="0"/>
        <v>12109.847589323595</v>
      </c>
      <c r="D15" s="4">
        <f>IF(B15&lt;&gt;"",C15*UnosPodataka!$M$14,"")</f>
        <v>302.74618973308992</v>
      </c>
      <c r="E15" s="4">
        <f>IF(B15&lt;&gt;"",PMT(UnosPodataka!$M$14,UnosPodataka!$M$15,Anuiteti!$E$4),"")</f>
        <v>-12412.593779056697</v>
      </c>
    </row>
    <row r="16" spans="2:13" x14ac:dyDescent="0.25">
      <c r="B16" t="str">
        <f>IF(B15&lt;UnosPodataka!$M$15,B15+1,"")</f>
        <v/>
      </c>
      <c r="C16" s="4" t="str">
        <f t="shared" si="0"/>
        <v/>
      </c>
      <c r="D16" s="4" t="str">
        <f>IF(B16&lt;&gt;"",C16*UnosPodataka!$M$14,"")</f>
        <v/>
      </c>
      <c r="E16" s="4" t="str">
        <f>IF(B16&lt;&gt;"",PMT(UnosPodataka!$M$14,UnosPodataka!$M$15,Anuiteti!$E$4),"")</f>
        <v/>
      </c>
    </row>
    <row r="17" spans="2:5" x14ac:dyDescent="0.25">
      <c r="B17" t="str">
        <f>IF(B16&lt;UnosPodataka!$M$15,B16+1,"")</f>
        <v/>
      </c>
      <c r="C17" s="4" t="str">
        <f t="shared" si="0"/>
        <v/>
      </c>
      <c r="D17" s="4" t="str">
        <f>IF(B17&lt;&gt;"",C17*UnosPodataka!$M$14,"")</f>
        <v/>
      </c>
      <c r="E17" s="4" t="str">
        <f>IF(B17&lt;&gt;"",PMT(UnosPodataka!$M$14,UnosPodataka!$M$15,Anuiteti!$E$4),"")</f>
        <v/>
      </c>
    </row>
    <row r="18" spans="2:5" x14ac:dyDescent="0.25">
      <c r="B18" t="str">
        <f>IF(B17&lt;UnosPodataka!$M$15,B17+1,"")</f>
        <v/>
      </c>
      <c r="C18" s="4" t="str">
        <f t="shared" si="0"/>
        <v/>
      </c>
      <c r="D18" s="4" t="str">
        <f>IF(B18&lt;&gt;"",C18*UnosPodataka!$M$14,"")</f>
        <v/>
      </c>
      <c r="E18" s="4" t="str">
        <f>IF(B18&lt;&gt;"",PMT(UnosPodataka!$M$14,UnosPodataka!$M$15,Anuiteti!$E$4),"")</f>
        <v/>
      </c>
    </row>
    <row r="19" spans="2:5" x14ac:dyDescent="0.25">
      <c r="B19" t="str">
        <f>IF(B18&lt;UnosPodataka!$M$15,B18+1,"")</f>
        <v/>
      </c>
      <c r="C19" s="4" t="str">
        <f t="shared" si="0"/>
        <v/>
      </c>
      <c r="D19" s="4" t="str">
        <f>IF(B19&lt;&gt;"",C19*UnosPodataka!$M$14,"")</f>
        <v/>
      </c>
      <c r="E19" s="4" t="str">
        <f>IF(B19&lt;&gt;"",PMT(UnosPodataka!$M$14,UnosPodataka!$M$15,Anuiteti!$E$4),"")</f>
        <v/>
      </c>
    </row>
    <row r="20" spans="2:5" x14ac:dyDescent="0.25">
      <c r="B20" t="str">
        <f>IF(B19&lt;UnosPodataka!$M$15,B19+1,"")</f>
        <v/>
      </c>
      <c r="C20" s="4" t="str">
        <f t="shared" si="0"/>
        <v/>
      </c>
      <c r="D20" s="4" t="str">
        <f>IF(B20&lt;&gt;"",C20*UnosPodataka!$M$14,"")</f>
        <v/>
      </c>
      <c r="E20" s="4" t="str">
        <f>IF(B20&lt;&gt;"",PMT(UnosPodataka!$M$14,UnosPodataka!$M$15,Anuiteti!$E$4),"")</f>
        <v/>
      </c>
    </row>
    <row r="21" spans="2:5" x14ac:dyDescent="0.25">
      <c r="B21" t="str">
        <f>IF(B20&lt;UnosPodataka!$M$15,B20+1,"")</f>
        <v/>
      </c>
      <c r="C21" s="4" t="str">
        <f t="shared" si="0"/>
        <v/>
      </c>
      <c r="D21" s="4" t="str">
        <f>IF(B21&lt;&gt;"",C21*UnosPodataka!$M$14,"")</f>
        <v/>
      </c>
      <c r="E21" s="4" t="str">
        <f>IF(B21&lt;&gt;"",PMT(UnosPodataka!$M$14,UnosPodataka!$M$15,Anuiteti!$E$4),"")</f>
        <v/>
      </c>
    </row>
    <row r="22" spans="2:5" x14ac:dyDescent="0.25">
      <c r="B22" t="str">
        <f>IF(B21&lt;UnosPodataka!$M$15,B21+1,"")</f>
        <v/>
      </c>
      <c r="C22" s="4" t="str">
        <f t="shared" si="0"/>
        <v/>
      </c>
      <c r="D22" s="4" t="str">
        <f>IF(B22&lt;&gt;"",C22*UnosPodataka!$M$14,"")</f>
        <v/>
      </c>
      <c r="E22" s="4" t="str">
        <f>IF(B22&lt;&gt;"",PMT(UnosPodataka!$M$14,UnosPodataka!$M$15,Anuiteti!$E$4),"")</f>
        <v/>
      </c>
    </row>
    <row r="23" spans="2:5" x14ac:dyDescent="0.25">
      <c r="B23" t="str">
        <f>IF(B22&lt;UnosPodataka!$M$15,B22+1,"")</f>
        <v/>
      </c>
      <c r="C23" s="4" t="str">
        <f t="shared" si="0"/>
        <v/>
      </c>
      <c r="D23" s="4" t="str">
        <f>IF(B23&lt;&gt;"",C23*UnosPodataka!$M$14,"")</f>
        <v/>
      </c>
      <c r="E23" s="4" t="str">
        <f>IF(B23&lt;&gt;"",PMT(UnosPodataka!$M$14,UnosPodataka!$M$15,Anuiteti!$E$4),"")</f>
        <v/>
      </c>
    </row>
    <row r="24" spans="2:5" x14ac:dyDescent="0.25">
      <c r="B24" t="str">
        <f>IF(B23&lt;UnosPodataka!$M$15,B23+1,"")</f>
        <v/>
      </c>
      <c r="C24" s="4" t="str">
        <f t="shared" si="0"/>
        <v/>
      </c>
      <c r="D24" s="4" t="str">
        <f>IF(B24&lt;&gt;"",C24*UnosPodataka!$M$14,"")</f>
        <v/>
      </c>
      <c r="E24" s="4" t="str">
        <f>IF(B24&lt;&gt;"",PMT(UnosPodataka!$M$14,UnosPodataka!$M$15,Anuiteti!$E$4),"")</f>
        <v/>
      </c>
    </row>
    <row r="25" spans="2:5" x14ac:dyDescent="0.25">
      <c r="B25" t="str">
        <f>IF(B24&lt;UnosPodataka!$M$15,B24+1,"")</f>
        <v/>
      </c>
      <c r="C25" s="4" t="str">
        <f t="shared" si="0"/>
        <v/>
      </c>
      <c r="D25" s="4" t="str">
        <f>IF(B25&lt;&gt;"",C25*UnosPodataka!$M$14,"")</f>
        <v/>
      </c>
      <c r="E25" s="4" t="str">
        <f>IF(B25&lt;&gt;"",PMT(UnosPodataka!$M$14,UnosPodataka!$M$15,Anuiteti!$E$4),"")</f>
        <v/>
      </c>
    </row>
    <row r="26" spans="2:5" x14ac:dyDescent="0.25">
      <c r="B26" t="str">
        <f>IF(B25&lt;UnosPodataka!$M$15,B25+1,"")</f>
        <v/>
      </c>
      <c r="C26" s="4" t="str">
        <f t="shared" si="0"/>
        <v/>
      </c>
      <c r="D26" s="4" t="str">
        <f>IF(B26&lt;&gt;"",C26*UnosPodataka!$M$14,"")</f>
        <v/>
      </c>
      <c r="E26" s="4" t="str">
        <f>IF(B26&lt;&gt;"",PMT(UnosPodataka!$M$14,UnosPodataka!$M$15,Anuiteti!$E$4),"")</f>
        <v/>
      </c>
    </row>
    <row r="27" spans="2:5" x14ac:dyDescent="0.25">
      <c r="B27" t="str">
        <f>IF(B26&lt;UnosPodataka!$M$15,B26+1,"")</f>
        <v/>
      </c>
      <c r="C27" s="4" t="str">
        <f t="shared" si="0"/>
        <v/>
      </c>
      <c r="D27" s="4" t="str">
        <f>IF(B27&lt;&gt;"",C27*UnosPodataka!$M$14,"")</f>
        <v/>
      </c>
      <c r="E27" s="4" t="str">
        <f>IF(B27&lt;&gt;"",PMT(UnosPodataka!$M$14,UnosPodataka!$M$15,Anuiteti!$E$4),"")</f>
        <v/>
      </c>
    </row>
  </sheetData>
  <sheetProtection selectLockedCells="1" selectUnlockedCells="1"/>
  <mergeCells count="3">
    <mergeCell ref="B2:G2"/>
    <mergeCell ref="I4:J5"/>
    <mergeCell ref="L4:M5"/>
  </mergeCells>
  <hyperlinks>
    <hyperlink ref="I4:J5" location="Ustede!L4" display="NAZAD"/>
    <hyperlink ref="L4:M5" location="FinaIndicators!A1" display="DALJE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zoomScale="80" zoomScaleNormal="80" workbookViewId="0">
      <selection sqref="A1:D1"/>
    </sheetView>
  </sheetViews>
  <sheetFormatPr defaultRowHeight="15" x14ac:dyDescent="0.25"/>
  <cols>
    <col min="4" max="4" width="13.7109375" customWidth="1"/>
    <col min="5" max="5" width="13.28515625" customWidth="1"/>
    <col min="6" max="6" width="11.85546875" customWidth="1"/>
    <col min="7" max="8" width="11.28515625" customWidth="1"/>
    <col min="9" max="9" width="11.85546875" customWidth="1"/>
    <col min="10" max="10" width="12.140625" customWidth="1"/>
    <col min="11" max="11" width="11.7109375" customWidth="1"/>
    <col min="12" max="12" width="11.5703125" customWidth="1"/>
    <col min="13" max="13" width="11.85546875" customWidth="1"/>
    <col min="14" max="14" width="12.42578125" customWidth="1"/>
    <col min="15" max="15" width="12" customWidth="1"/>
    <col min="16" max="16" width="12.42578125" customWidth="1"/>
    <col min="17" max="17" width="11.5703125" customWidth="1"/>
    <col min="18" max="18" width="12.5703125" customWidth="1"/>
    <col min="19" max="19" width="12.140625" customWidth="1"/>
    <col min="20" max="20" width="11.28515625" customWidth="1"/>
    <col min="21" max="21" width="12.42578125" customWidth="1"/>
    <col min="22" max="22" width="12.7109375" customWidth="1"/>
    <col min="23" max="23" width="12.5703125" customWidth="1"/>
    <col min="24" max="24" width="12.140625" customWidth="1"/>
    <col min="25" max="25" width="11.5703125" customWidth="1"/>
  </cols>
  <sheetData>
    <row r="1" spans="1:25" ht="21" x14ac:dyDescent="0.35">
      <c r="A1" s="62" t="s">
        <v>114</v>
      </c>
      <c r="B1" s="62"/>
      <c r="C1" s="62"/>
      <c r="D1" s="62"/>
      <c r="I1" s="64" t="s">
        <v>160</v>
      </c>
      <c r="J1" s="64"/>
      <c r="N1" s="65" t="s">
        <v>161</v>
      </c>
      <c r="O1" s="65"/>
    </row>
    <row r="3" spans="1:25" x14ac:dyDescent="0.25">
      <c r="A3" s="54" t="s">
        <v>68</v>
      </c>
      <c r="B3" s="54"/>
      <c r="C3" s="54"/>
      <c r="D3" s="54"/>
      <c r="E3" s="17">
        <v>0</v>
      </c>
      <c r="F3" s="17">
        <v>1</v>
      </c>
      <c r="G3" s="17">
        <f>IF(F3&lt;UnosPodataka!$M$18,FinaIndicators!F3+1,"")</f>
        <v>2</v>
      </c>
      <c r="H3" s="37">
        <f>IF(G3&lt;UnosPodataka!$M$18,FinaIndicators!G3+1,"")</f>
        <v>3</v>
      </c>
      <c r="I3" s="37">
        <f>IF(H3&lt;UnosPodataka!$M$18,FinaIndicators!H3+1,"")</f>
        <v>4</v>
      </c>
      <c r="J3" s="37">
        <f>IF(I3&lt;UnosPodataka!$M$18,FinaIndicators!I3+1,"")</f>
        <v>5</v>
      </c>
      <c r="K3" s="37">
        <f>IF(J3&lt;UnosPodataka!$M$18,FinaIndicators!J3+1,"")</f>
        <v>6</v>
      </c>
      <c r="L3" s="37">
        <f>IF(K3&lt;UnosPodataka!$M$18,FinaIndicators!K3+1,"")</f>
        <v>7</v>
      </c>
      <c r="M3" s="37">
        <f>IF(L3&lt;UnosPodataka!$M$18,FinaIndicators!L3+1,"")</f>
        <v>8</v>
      </c>
      <c r="N3" s="37">
        <f>IF(M3&lt;UnosPodataka!$M$18,FinaIndicators!M3+1,"")</f>
        <v>9</v>
      </c>
      <c r="O3" s="37">
        <f>IF(N3&lt;UnosPodataka!$M$18,FinaIndicators!N3+1,"")</f>
        <v>10</v>
      </c>
      <c r="P3" s="37">
        <f>IF(O3&lt;UnosPodataka!$M$18,FinaIndicators!O3+1,"")</f>
        <v>11</v>
      </c>
      <c r="Q3" s="37">
        <f>IF(P3&lt;UnosPodataka!$M$18,FinaIndicators!P3+1,"")</f>
        <v>12</v>
      </c>
      <c r="R3" s="37">
        <f>IF(Q3&lt;UnosPodataka!$M$18,FinaIndicators!Q3+1,"")</f>
        <v>13</v>
      </c>
      <c r="S3" s="37">
        <f>IF(R3&lt;UnosPodataka!$M$18,FinaIndicators!R3+1,"")</f>
        <v>14</v>
      </c>
      <c r="T3" s="37">
        <f>IF(S3&lt;UnosPodataka!$M$18,FinaIndicators!S3+1,"")</f>
        <v>15</v>
      </c>
      <c r="U3" s="37">
        <f>IF(T3&lt;UnosPodataka!$M$18,FinaIndicators!T3+1,"")</f>
        <v>16</v>
      </c>
      <c r="V3" s="37">
        <f>IF(U3&lt;UnosPodataka!$M$18,FinaIndicators!U3+1,"")</f>
        <v>17</v>
      </c>
      <c r="W3" s="37">
        <f>IF(V3&lt;UnosPodataka!$M$18,FinaIndicators!V3+1,"")</f>
        <v>18</v>
      </c>
      <c r="X3" s="37">
        <f>IF(W3&lt;UnosPodataka!$M$18,FinaIndicators!W3+1,"")</f>
        <v>19</v>
      </c>
      <c r="Y3" s="37">
        <f>IF(X3&lt;UnosPodataka!$M$18,FinaIndicators!X3+1,"")</f>
        <v>20</v>
      </c>
    </row>
    <row r="5" spans="1:25" x14ac:dyDescent="0.25">
      <c r="A5" s="57" t="s">
        <v>115</v>
      </c>
      <c r="B5" s="57"/>
      <c r="C5" s="57"/>
      <c r="D5" s="57"/>
      <c r="E5" s="4">
        <f>LOAN</f>
        <v>89000</v>
      </c>
    </row>
    <row r="6" spans="1:25" x14ac:dyDescent="0.25">
      <c r="A6" s="57" t="s">
        <v>116</v>
      </c>
      <c r="B6" s="57"/>
      <c r="C6" s="57"/>
      <c r="D6" s="57"/>
      <c r="E6" s="4">
        <f>IF(Equity=0,LOAN,Equity)</f>
        <v>25000</v>
      </c>
    </row>
    <row r="7" spans="1:25" x14ac:dyDescent="0.25">
      <c r="A7" s="58"/>
      <c r="B7" s="58"/>
      <c r="C7" s="58"/>
      <c r="D7" s="58"/>
    </row>
    <row r="8" spans="1:25" x14ac:dyDescent="0.25">
      <c r="A8" s="57" t="s">
        <v>136</v>
      </c>
      <c r="B8" s="57"/>
      <c r="C8" s="57"/>
      <c r="D8" s="57"/>
      <c r="F8" s="4">
        <f>IF(F3&lt;&gt;"",Ustede!$F$14,"")</f>
        <v>356.08311398399997</v>
      </c>
      <c r="G8" s="4">
        <f>IF(G3&lt;&gt;"",Ustede!$F$14,"")</f>
        <v>356.08311398399997</v>
      </c>
      <c r="H8" s="4">
        <f>IF(H3&lt;&gt;"",Ustede!$F$14,"")</f>
        <v>356.08311398399997</v>
      </c>
      <c r="I8" s="4">
        <f>IF(I3&lt;&gt;"",Ustede!$F$14,"")</f>
        <v>356.08311398399997</v>
      </c>
      <c r="J8" s="4">
        <f>IF(J3&lt;&gt;"",Ustede!$F$14,"")</f>
        <v>356.08311398399997</v>
      </c>
      <c r="K8" s="4">
        <f>IF(K3&lt;&gt;"",Ustede!$F$14,"")</f>
        <v>356.08311398399997</v>
      </c>
      <c r="L8" s="4">
        <f>IF(L3&lt;&gt;"",Ustede!$F$14,"")</f>
        <v>356.08311398399997</v>
      </c>
      <c r="M8" s="4">
        <f>IF(M3&lt;&gt;"",Ustede!$F$14,"")</f>
        <v>356.08311398399997</v>
      </c>
      <c r="N8" s="4">
        <f>IF(N3&lt;&gt;"",Ustede!$F$14,"")</f>
        <v>356.08311398399997</v>
      </c>
      <c r="O8" s="4">
        <f>IF(O3&lt;&gt;"",Ustede!$F$14,"")</f>
        <v>356.08311398399997</v>
      </c>
      <c r="P8" s="4">
        <f>IF(P3&lt;&gt;"",Ustede!$F$14,"")</f>
        <v>356.08311398399997</v>
      </c>
      <c r="Q8" s="4">
        <f>IF(Q3&lt;&gt;"",Ustede!$F$14,"")</f>
        <v>356.08311398399997</v>
      </c>
      <c r="R8" s="4">
        <f>IF(R3&lt;&gt;"",Ustede!$F$14,"")</f>
        <v>356.08311398399997</v>
      </c>
      <c r="S8" s="4">
        <f>IF(S3&lt;&gt;"",Ustede!$F$14,"")</f>
        <v>356.08311398399997</v>
      </c>
      <c r="T8" s="4">
        <f>IF(T3&lt;&gt;"",Ustede!$F$14,"")</f>
        <v>356.08311398399997</v>
      </c>
      <c r="U8" s="4">
        <f>IF(U3&lt;&gt;"",Ustede!$F$14,"")</f>
        <v>356.08311398399997</v>
      </c>
      <c r="V8" s="4">
        <f>IF(V3&lt;&gt;"",Ustede!$F$14,"")</f>
        <v>356.08311398399997</v>
      </c>
      <c r="W8" s="4">
        <f>IF(W3&lt;&gt;"",Ustede!$F$14,"")</f>
        <v>356.08311398399997</v>
      </c>
      <c r="X8" s="4">
        <f>IF(X3&lt;&gt;"",Ustede!$F$14,"")</f>
        <v>356.08311398399997</v>
      </c>
      <c r="Y8" s="4">
        <f>IF(Y3&lt;&gt;"",Ustede!$F$14,"")</f>
        <v>356.08311398399997</v>
      </c>
    </row>
    <row r="9" spans="1:25" x14ac:dyDescent="0.25">
      <c r="A9" s="57" t="s">
        <v>137</v>
      </c>
      <c r="B9" s="57"/>
      <c r="C9" s="57"/>
      <c r="D9" s="57"/>
      <c r="F9" s="4">
        <f>IF(F3&lt;&gt;"",(Ustede!$F$5-Ustede!$F$6),"")</f>
        <v>930</v>
      </c>
      <c r="G9" s="4">
        <f>IF(G3&lt;&gt;"",(Ustede!$F$5-Ustede!$F$6),"")</f>
        <v>930</v>
      </c>
      <c r="H9" s="4">
        <f>IF(H3&lt;&gt;"",(Ustede!$F$5-Ustede!$F$6),"")</f>
        <v>930</v>
      </c>
      <c r="I9" s="4">
        <f>IF(I3&lt;&gt;"",(Ustede!$F$5-Ustede!$F$6),"")</f>
        <v>930</v>
      </c>
      <c r="J9" s="4">
        <f>IF(J3&lt;&gt;"",(Ustede!$F$5-Ustede!$F$6),"")</f>
        <v>930</v>
      </c>
      <c r="K9" s="4">
        <f>IF(K3&lt;&gt;"",(Ustede!$F$5-Ustede!$F$6),"")</f>
        <v>930</v>
      </c>
      <c r="L9" s="4">
        <f>IF(L3&lt;&gt;"",(Ustede!$F$5-Ustede!$F$6),"")</f>
        <v>930</v>
      </c>
      <c r="M9" s="4">
        <f>IF(M3&lt;&gt;"",(Ustede!$F$5-Ustede!$F$6),"")</f>
        <v>930</v>
      </c>
      <c r="N9" s="4">
        <f>IF(N3&lt;&gt;"",(Ustede!$F$5-Ustede!$F$6),"")</f>
        <v>930</v>
      </c>
      <c r="O9" s="4">
        <f>IF(O3&lt;&gt;"",(Ustede!$F$5-Ustede!$F$6),"")</f>
        <v>930</v>
      </c>
      <c r="P9" s="4">
        <f>IF(P3&lt;&gt;"",(Ustede!$F$5-Ustede!$F$6),"")</f>
        <v>930</v>
      </c>
      <c r="Q9" s="4">
        <f>IF(Q3&lt;&gt;"",(Ustede!$F$5-Ustede!$F$6),"")</f>
        <v>930</v>
      </c>
      <c r="R9" s="4">
        <f>IF(R3&lt;&gt;"",(Ustede!$F$5-Ustede!$F$6),"")</f>
        <v>930</v>
      </c>
      <c r="S9" s="4">
        <f>IF(S3&lt;&gt;"",(Ustede!$F$5-Ustede!$F$6),"")</f>
        <v>930</v>
      </c>
      <c r="T9" s="4">
        <f>IF(T3&lt;&gt;"",(Ustede!$F$5-Ustede!$F$6),"")</f>
        <v>930</v>
      </c>
      <c r="U9" s="4">
        <f>IF(U3&lt;&gt;"",(Ustede!$F$5-Ustede!$F$6),"")</f>
        <v>930</v>
      </c>
      <c r="V9" s="4">
        <f>IF(V3&lt;&gt;"",(Ustede!$F$5-Ustede!$F$6),"")</f>
        <v>930</v>
      </c>
      <c r="W9" s="4">
        <f>IF(W3&lt;&gt;"",(Ustede!$F$5-Ustede!$F$6),"")</f>
        <v>930</v>
      </c>
      <c r="X9" s="4">
        <f>IF(X3&lt;&gt;"",(Ustede!$F$5-Ustede!$F$6),"")</f>
        <v>930</v>
      </c>
      <c r="Y9" s="4">
        <f>IF(Y3&lt;&gt;"",(Ustede!$F$5-Ustede!$F$6),"")</f>
        <v>930</v>
      </c>
    </row>
    <row r="10" spans="1:25" x14ac:dyDescent="0.25">
      <c r="A10" s="57" t="s">
        <v>117</v>
      </c>
      <c r="B10" s="57"/>
      <c r="C10" s="57"/>
      <c r="D10" s="57"/>
      <c r="F10" s="4">
        <f>IF(F3&lt;&gt;"",Ustede!$F$15,"")</f>
        <v>22109.914952787065</v>
      </c>
      <c r="G10" s="4">
        <f>IF(G3&lt;&gt;"",Ustede!$F$15,"")</f>
        <v>22109.914952787065</v>
      </c>
      <c r="H10" s="4">
        <f>IF(H3&lt;&gt;"",Ustede!$F$15,"")</f>
        <v>22109.914952787065</v>
      </c>
      <c r="I10" s="4">
        <f>IF(I3&lt;&gt;"",Ustede!$F$15,"")</f>
        <v>22109.914952787065</v>
      </c>
      <c r="J10" s="4">
        <f>IF(J3&lt;&gt;"",Ustede!$F$15,"")</f>
        <v>22109.914952787065</v>
      </c>
      <c r="K10" s="4">
        <f>IF(K3&lt;&gt;"",Ustede!$F$15,"")</f>
        <v>22109.914952787065</v>
      </c>
      <c r="L10" s="4">
        <f>IF(L3&lt;&gt;"",Ustede!$F$15,"")</f>
        <v>22109.914952787065</v>
      </c>
      <c r="M10" s="4">
        <f>IF(M3&lt;&gt;"",Ustede!$F$15,"")</f>
        <v>22109.914952787065</v>
      </c>
      <c r="N10" s="4">
        <f>IF(N3&lt;&gt;"",Ustede!$F$15,"")</f>
        <v>22109.914952787065</v>
      </c>
      <c r="O10" s="4">
        <f>IF(O3&lt;&gt;"",Ustede!$F$15,"")</f>
        <v>22109.914952787065</v>
      </c>
      <c r="P10" s="4">
        <f>IF(P3&lt;&gt;"",Ustede!$F$15,"")</f>
        <v>22109.914952787065</v>
      </c>
      <c r="Q10" s="4">
        <f>IF(Q3&lt;&gt;"",Ustede!$F$15,"")</f>
        <v>22109.914952787065</v>
      </c>
      <c r="R10" s="4">
        <f>IF(R3&lt;&gt;"",Ustede!$F$15,"")</f>
        <v>22109.914952787065</v>
      </c>
      <c r="S10" s="4">
        <f>IF(S3&lt;&gt;"",Ustede!$F$15,"")</f>
        <v>22109.914952787065</v>
      </c>
      <c r="T10" s="4">
        <f>IF(T3&lt;&gt;"",Ustede!$F$15,"")</f>
        <v>22109.914952787065</v>
      </c>
      <c r="U10" s="4">
        <f>IF(U3&lt;&gt;"",Ustede!$F$15,"")</f>
        <v>22109.914952787065</v>
      </c>
      <c r="V10" s="4">
        <f>IF(V3&lt;&gt;"",Ustede!$F$15,"")</f>
        <v>22109.914952787065</v>
      </c>
      <c r="W10" s="4">
        <f>IF(W3&lt;&gt;"",Ustede!$F$15,"")</f>
        <v>22109.914952787065</v>
      </c>
      <c r="X10" s="4">
        <f>IF(X3&lt;&gt;"",Ustede!$F$15,"")</f>
        <v>22109.914952787065</v>
      </c>
      <c r="Y10" s="4">
        <f>IF(Y3&lt;&gt;"",Ustede!$F$15,"")</f>
        <v>22109.914952787065</v>
      </c>
    </row>
    <row r="11" spans="1:25" x14ac:dyDescent="0.25">
      <c r="A11" s="66" t="s">
        <v>118</v>
      </c>
      <c r="B11" s="66"/>
      <c r="C11" s="66"/>
      <c r="D11" s="66"/>
      <c r="F11" s="4">
        <f>IF(F3&lt;&gt;"",F10,"")</f>
        <v>22109.914952787065</v>
      </c>
      <c r="G11" s="4">
        <f t="shared" ref="G11:Y11" si="0">IF(G3&lt;&gt;"",G10,"")</f>
        <v>22109.914952787065</v>
      </c>
      <c r="H11" s="4">
        <f t="shared" si="0"/>
        <v>22109.914952787065</v>
      </c>
      <c r="I11" s="4">
        <f t="shared" si="0"/>
        <v>22109.914952787065</v>
      </c>
      <c r="J11" s="4">
        <f t="shared" si="0"/>
        <v>22109.914952787065</v>
      </c>
      <c r="K11" s="4">
        <f t="shared" si="0"/>
        <v>22109.914952787065</v>
      </c>
      <c r="L11" s="4">
        <f t="shared" si="0"/>
        <v>22109.914952787065</v>
      </c>
      <c r="M11" s="4">
        <f t="shared" si="0"/>
        <v>22109.914952787065</v>
      </c>
      <c r="N11" s="4">
        <f t="shared" si="0"/>
        <v>22109.914952787065</v>
      </c>
      <c r="O11" s="4">
        <f t="shared" si="0"/>
        <v>22109.914952787065</v>
      </c>
      <c r="P11" s="4">
        <f t="shared" si="0"/>
        <v>22109.914952787065</v>
      </c>
      <c r="Q11" s="4">
        <f t="shared" si="0"/>
        <v>22109.914952787065</v>
      </c>
      <c r="R11" s="4">
        <f t="shared" si="0"/>
        <v>22109.914952787065</v>
      </c>
      <c r="S11" s="4">
        <f t="shared" si="0"/>
        <v>22109.914952787065</v>
      </c>
      <c r="T11" s="4">
        <f t="shared" si="0"/>
        <v>22109.914952787065</v>
      </c>
      <c r="U11" s="4">
        <f t="shared" si="0"/>
        <v>22109.914952787065</v>
      </c>
      <c r="V11" s="4">
        <f t="shared" si="0"/>
        <v>22109.914952787065</v>
      </c>
      <c r="W11" s="4">
        <f t="shared" si="0"/>
        <v>22109.914952787065</v>
      </c>
      <c r="X11" s="4">
        <f t="shared" si="0"/>
        <v>22109.914952787065</v>
      </c>
      <c r="Y11" s="4">
        <f t="shared" si="0"/>
        <v>22109.914952787065</v>
      </c>
    </row>
    <row r="12" spans="1:25" x14ac:dyDescent="0.25">
      <c r="A12" s="58"/>
      <c r="B12" s="58"/>
      <c r="C12" s="58"/>
      <c r="D12" s="58"/>
    </row>
    <row r="13" spans="1:25" x14ac:dyDescent="0.25">
      <c r="A13" s="57" t="s">
        <v>119</v>
      </c>
      <c r="B13" s="57"/>
      <c r="C13" s="57"/>
      <c r="D13" s="57"/>
      <c r="F13" s="4">
        <f>IF(F3&gt;UnosPodataka!$M$15,"",-VLOOKUP(F3,Anuiteti!$B$8:$E$27,3,FALSE))</f>
        <v>-2225</v>
      </c>
      <c r="G13" s="4">
        <f>IF(G3&gt;UnosPodataka!$M$15,"",-VLOOKUP(G3,Anuiteti!$B$8:$E$27,3,FALSE))</f>
        <v>-1970.3101555235826</v>
      </c>
      <c r="H13" s="4">
        <f>IF(H3&gt;UnosPodataka!$M$15,"",-VLOOKUP(H3,Anuiteti!$B$8:$E$27,3,FALSE))</f>
        <v>-1709.2530649352548</v>
      </c>
      <c r="I13" s="4">
        <f>IF(I3&gt;UnosPodataka!$M$15,"",-VLOOKUP(I3,Anuiteti!$B$8:$E$27,3,FALSE))</f>
        <v>-1441.6695470822187</v>
      </c>
      <c r="J13" s="4">
        <f>IF(J3&gt;UnosPodataka!$M$15,"",-VLOOKUP(J3,Anuiteti!$B$8:$E$27,3,FALSE))</f>
        <v>-1167.3964412828566</v>
      </c>
      <c r="K13" s="4">
        <f>IF(K3&gt;UnosPodataka!$M$15,"",-VLOOKUP(K3,Anuiteti!$B$8:$E$27,3,FALSE))</f>
        <v>-886.26650783851062</v>
      </c>
      <c r="L13" s="4">
        <f>IF(L3&gt;UnosPodataka!$M$15,"",-VLOOKUP(L3,Anuiteti!$B$8:$E$27,3,FALSE))</f>
        <v>-598.10832605805592</v>
      </c>
      <c r="M13" s="4">
        <f>IF(M3&gt;UnosPodataka!$M$15,"",-VLOOKUP(M3,Anuiteti!$B$8:$E$27,3,FALSE))</f>
        <v>-302.74618973308992</v>
      </c>
      <c r="N13" s="4" t="str">
        <f>IF(N3&gt;UnosPodataka!$M$15,"",-VLOOKUP(N3,Anuiteti!$B$8:$E$27,3,FALSE))</f>
        <v/>
      </c>
      <c r="O13" s="4" t="str">
        <f>IF(O3&gt;UnosPodataka!$M$15,"",-VLOOKUP(O3,Anuiteti!$B$8:$E$27,3,FALSE))</f>
        <v/>
      </c>
      <c r="P13" s="4" t="str">
        <f>IF(P3&gt;UnosPodataka!$M$15,"",-VLOOKUP(P3,Anuiteti!$B$8:$E$27,3,FALSE))</f>
        <v/>
      </c>
      <c r="Q13" s="4" t="str">
        <f>IF(Q3&gt;UnosPodataka!$M$15,"",-VLOOKUP(Q3,Anuiteti!$B$8:$E$27,3,FALSE))</f>
        <v/>
      </c>
      <c r="R13" s="4" t="str">
        <f>IF(R3&gt;UnosPodataka!$M$15,"",-VLOOKUP(R3,Anuiteti!$B$8:$E$27,3,FALSE))</f>
        <v/>
      </c>
      <c r="S13" s="4" t="str">
        <f>IF(S3&gt;UnosPodataka!$M$15,"",-VLOOKUP(S3,Anuiteti!$B$8:$E$27,3,FALSE))</f>
        <v/>
      </c>
      <c r="T13" s="4" t="str">
        <f>IF(T3&gt;UnosPodataka!$M$15,"",-VLOOKUP(T3,Anuiteti!$B$8:$E$27,3,FALSE))</f>
        <v/>
      </c>
      <c r="U13" s="4" t="str">
        <f>IF(U3&gt;UnosPodataka!$M$15,"",-VLOOKUP(U3,Anuiteti!$B$8:$E$27,3,FALSE))</f>
        <v/>
      </c>
      <c r="V13" s="4" t="str">
        <f>IF(V3&gt;UnosPodataka!$M$15,"",-VLOOKUP(V3,Anuiteti!$B$8:$E$27,3,FALSE))</f>
        <v/>
      </c>
      <c r="W13" s="4" t="str">
        <f>IF(W3&gt;UnosPodataka!$M$15,"",-VLOOKUP(W3,Anuiteti!$B$8:$E$27,3,FALSE))</f>
        <v/>
      </c>
      <c r="X13" s="4" t="str">
        <f>IF(X3&gt;UnosPodataka!$M$15,"",-VLOOKUP(X3,Anuiteti!$B$8:$E$27,3,FALSE))</f>
        <v/>
      </c>
      <c r="Y13" s="4" t="str">
        <f>IF(Y3&gt;UnosPodataka!$M$15,"",-VLOOKUP(Y3,Anuiteti!$B$8:$E$27,3,FALSE))</f>
        <v/>
      </c>
    </row>
    <row r="14" spans="1:25" x14ac:dyDescent="0.25">
      <c r="A14" s="57" t="s">
        <v>120</v>
      </c>
      <c r="B14" s="57"/>
      <c r="C14" s="57"/>
      <c r="D14" s="57"/>
      <c r="F14" s="4">
        <f>IF(F3&lt;&gt;"",-UnosPodataka!$M$4,"")</f>
        <v>0</v>
      </c>
      <c r="G14" s="4">
        <f>IF(G3&lt;&gt;"",-UnosPodataka!$M$4,"")</f>
        <v>0</v>
      </c>
      <c r="H14" s="4">
        <f>IF(H3&lt;&gt;"",-UnosPodataka!$M$4,"")</f>
        <v>0</v>
      </c>
      <c r="I14" s="4">
        <f>IF(I3&lt;&gt;"",-UnosPodataka!$M$4,"")</f>
        <v>0</v>
      </c>
      <c r="J14" s="4">
        <f>IF(J3&lt;&gt;"",-UnosPodataka!$M$4,"")</f>
        <v>0</v>
      </c>
      <c r="K14" s="4">
        <f>IF(K3&lt;&gt;"",-UnosPodataka!$M$4,"")</f>
        <v>0</v>
      </c>
      <c r="L14" s="4">
        <f>IF(L3&lt;&gt;"",-UnosPodataka!$M$4,"")</f>
        <v>0</v>
      </c>
      <c r="M14" s="4">
        <f>IF(M3&lt;&gt;"",-UnosPodataka!$M$4,"")</f>
        <v>0</v>
      </c>
      <c r="N14" s="4">
        <f>IF(N3&lt;&gt;"",-UnosPodataka!$M$4,"")</f>
        <v>0</v>
      </c>
      <c r="O14" s="4">
        <f>IF(O3&lt;&gt;"",-UnosPodataka!$M$4,"")</f>
        <v>0</v>
      </c>
      <c r="P14" s="4">
        <f>IF(P3&lt;&gt;"",-UnosPodataka!$M$4,"")</f>
        <v>0</v>
      </c>
      <c r="Q14" s="4">
        <f>IF(Q3&lt;&gt;"",-UnosPodataka!$M$4,"")</f>
        <v>0</v>
      </c>
      <c r="R14" s="4">
        <f>IF(R3&lt;&gt;"",-UnosPodataka!$M$4,"")</f>
        <v>0</v>
      </c>
      <c r="S14" s="4">
        <f>IF(S3&lt;&gt;"",-UnosPodataka!$M$4,"")</f>
        <v>0</v>
      </c>
      <c r="T14" s="4">
        <f>IF(T3&lt;&gt;"",-UnosPodataka!$M$4,"")</f>
        <v>0</v>
      </c>
      <c r="U14" s="4">
        <f>IF(U3&lt;&gt;"",-UnosPodataka!$M$4,"")</f>
        <v>0</v>
      </c>
      <c r="V14" s="4">
        <f>IF(V3&lt;&gt;"",-UnosPodataka!$M$4,"")</f>
        <v>0</v>
      </c>
      <c r="W14" s="4">
        <f>IF(W3&lt;&gt;"",-UnosPodataka!$M$4,"")</f>
        <v>0</v>
      </c>
      <c r="X14" s="4">
        <f>IF(X3&lt;&gt;"",-UnosPodataka!$M$4,"")</f>
        <v>0</v>
      </c>
      <c r="Y14" s="4">
        <f>IF(Y3&lt;&gt;"",-UnosPodataka!$M$4,"")</f>
        <v>0</v>
      </c>
    </row>
    <row r="15" spans="1:25" x14ac:dyDescent="0.25">
      <c r="A15" s="57" t="s">
        <v>121</v>
      </c>
      <c r="B15" s="57"/>
      <c r="C15" s="57"/>
      <c r="D15" s="57"/>
      <c r="F15" s="4">
        <f>IF(F3&lt;&gt;"",-Investment*UnosPodataka!$M$6,"")</f>
        <v>-4320</v>
      </c>
      <c r="G15" s="4">
        <f>IF(G3&lt;&gt;"",-Investment*UnosPodataka!$M$6,"")</f>
        <v>-4320</v>
      </c>
      <c r="H15" s="4">
        <f>IF(H3&lt;&gt;"",-Investment*UnosPodataka!$M$6,"")</f>
        <v>-4320</v>
      </c>
      <c r="I15" s="4">
        <f>IF(I3&lt;&gt;"",-Investment*UnosPodataka!$M$6,"")</f>
        <v>-4320</v>
      </c>
      <c r="J15" s="4">
        <f>IF(J3&lt;&gt;"",-Investment*UnosPodataka!$M$6,"")</f>
        <v>-4320</v>
      </c>
      <c r="K15" s="4">
        <f>IF(K3&lt;&gt;"",-Investment*UnosPodataka!$M$6,"")</f>
        <v>-4320</v>
      </c>
      <c r="L15" s="4">
        <f>IF(L3&lt;&gt;"",-Investment*UnosPodataka!$M$6,"")</f>
        <v>-4320</v>
      </c>
      <c r="M15" s="4">
        <f>IF(M3&lt;&gt;"",-Investment*UnosPodataka!$M$6,"")</f>
        <v>-4320</v>
      </c>
      <c r="N15" s="4">
        <f>IF(N3&lt;&gt;"",-Investment*UnosPodataka!$M$6,"")</f>
        <v>-4320</v>
      </c>
      <c r="O15" s="4">
        <f>IF(O3&lt;&gt;"",-Investment*UnosPodataka!$M$6,"")</f>
        <v>-4320</v>
      </c>
      <c r="P15" s="4">
        <f>IF(P3&lt;&gt;"",-Investment*UnosPodataka!$M$6,"")</f>
        <v>-4320</v>
      </c>
      <c r="Q15" s="4">
        <f>IF(Q3&lt;&gt;"",-Investment*UnosPodataka!$M$6,"")</f>
        <v>-4320</v>
      </c>
      <c r="R15" s="4">
        <f>IF(R3&lt;&gt;"",-Investment*UnosPodataka!$M$6,"")</f>
        <v>-4320</v>
      </c>
      <c r="S15" s="4">
        <f>IF(S3&lt;&gt;"",-Investment*UnosPodataka!$M$6,"")</f>
        <v>-4320</v>
      </c>
      <c r="T15" s="4">
        <f>IF(T3&lt;&gt;"",-Investment*UnosPodataka!$M$6,"")</f>
        <v>-4320</v>
      </c>
      <c r="U15" s="4">
        <f>IF(U3&lt;&gt;"",-Investment*UnosPodataka!$M$6,"")</f>
        <v>-4320</v>
      </c>
      <c r="V15" s="4">
        <f>IF(V3&lt;&gt;"",-Investment*UnosPodataka!$M$6,"")</f>
        <v>-4320</v>
      </c>
      <c r="W15" s="4">
        <f>IF(W3&lt;&gt;"",-Investment*UnosPodataka!$M$6,"")</f>
        <v>-4320</v>
      </c>
      <c r="X15" s="4">
        <f>IF(X3&lt;&gt;"",-Investment*UnosPodataka!$M$6,"")</f>
        <v>-4320</v>
      </c>
      <c r="Y15" s="4">
        <f>IF(Y3&lt;&gt;"",-Investment*UnosPodataka!$M$6,"")</f>
        <v>-4320</v>
      </c>
    </row>
    <row r="16" spans="1:25" x14ac:dyDescent="0.25">
      <c r="A16" s="57" t="s">
        <v>162</v>
      </c>
      <c r="B16" s="57"/>
      <c r="C16" s="57"/>
      <c r="D16" s="57"/>
      <c r="F16" s="4">
        <f>IF(F3&lt;&gt;"",-(1-UnosPodataka!$M$5)*F10,"")</f>
        <v>0</v>
      </c>
      <c r="G16" s="4">
        <f>IF(G3&lt;&gt;"",-(1-UnosPodataka!$M$5)*G10,"")</f>
        <v>0</v>
      </c>
      <c r="H16" s="4">
        <f>IF(H3&lt;&gt;"",-(1-UnosPodataka!$M$5)*H10,"")</f>
        <v>0</v>
      </c>
      <c r="I16" s="4">
        <f>IF(I3&lt;&gt;"",-(1-UnosPodataka!$M$5)*I10,"")</f>
        <v>0</v>
      </c>
      <c r="J16" s="4">
        <f>IF(J3&lt;&gt;"",-(1-UnosPodataka!$M$5)*J10,"")</f>
        <v>0</v>
      </c>
      <c r="K16" s="4">
        <f>IF(K3&lt;&gt;"",-(1-UnosPodataka!$M$5)*K10,"")</f>
        <v>0</v>
      </c>
      <c r="L16" s="4">
        <f>IF(L3&lt;&gt;"",-(1-UnosPodataka!$M$5)*L10,"")</f>
        <v>0</v>
      </c>
      <c r="M16" s="4">
        <f>IF(M3&lt;&gt;"",-(1-UnosPodataka!$M$5)*M10,"")</f>
        <v>0</v>
      </c>
      <c r="N16" s="4">
        <f>IF(N3&lt;&gt;"",-(1-UnosPodataka!$M$5)*N10,"")</f>
        <v>0</v>
      </c>
      <c r="O16" s="4">
        <f>IF(O3&lt;&gt;"",-(1-UnosPodataka!$M$5)*O10,"")</f>
        <v>0</v>
      </c>
      <c r="P16" s="4">
        <f>IF(P3&lt;&gt;"",-(1-UnosPodataka!$M$5)*P10,"")</f>
        <v>0</v>
      </c>
      <c r="Q16" s="4">
        <f>IF(Q3&lt;&gt;"",-(1-UnosPodataka!$M$5)*Q10,"")</f>
        <v>0</v>
      </c>
      <c r="R16" s="4">
        <f>IF(R3&lt;&gt;"",-(1-UnosPodataka!$M$5)*R10,"")</f>
        <v>0</v>
      </c>
      <c r="S16" s="4">
        <f>IF(S3&lt;&gt;"",-(1-UnosPodataka!$M$5)*S10,"")</f>
        <v>0</v>
      </c>
      <c r="T16" s="4">
        <f>IF(T3&lt;&gt;"",-(1-UnosPodataka!$M$5)*T10,"")</f>
        <v>0</v>
      </c>
      <c r="U16" s="4">
        <f>IF(U3&lt;&gt;"",-(1-UnosPodataka!$M$5)*U10,"")</f>
        <v>0</v>
      </c>
      <c r="V16" s="4">
        <f>IF(V3&lt;&gt;"",-(1-UnosPodataka!$M$5)*V10,"")</f>
        <v>0</v>
      </c>
      <c r="W16" s="4">
        <f>IF(W3&lt;&gt;"",-(1-UnosPodataka!$M$5)*W10,"")</f>
        <v>0</v>
      </c>
      <c r="X16" s="4">
        <f>IF(X3&lt;&gt;"",-(1-UnosPodataka!$M$5)*X10,"")</f>
        <v>0</v>
      </c>
      <c r="Y16" s="4">
        <f>IF(Y3&lt;&gt;"",-(1-UnosPodataka!$M$5)*Y10,"")</f>
        <v>0</v>
      </c>
    </row>
    <row r="17" spans="1:26" x14ac:dyDescent="0.25">
      <c r="A17" s="66" t="s">
        <v>122</v>
      </c>
      <c r="B17" s="66"/>
      <c r="C17" s="66"/>
      <c r="D17" s="66"/>
      <c r="F17" s="4">
        <f>IF(F3&lt;&gt;"",SUM(F13:F16),"")</f>
        <v>-6545</v>
      </c>
      <c r="G17" s="4">
        <f t="shared" ref="G17:Y17" si="1">IF(G3&lt;&gt;"",SUM(G13:G16),"")</f>
        <v>-6290.3101555235826</v>
      </c>
      <c r="H17" s="4">
        <f t="shared" si="1"/>
        <v>-6029.2530649352548</v>
      </c>
      <c r="I17" s="4">
        <f t="shared" si="1"/>
        <v>-5761.6695470822187</v>
      </c>
      <c r="J17" s="4">
        <f t="shared" si="1"/>
        <v>-5487.3964412828564</v>
      </c>
      <c r="K17" s="4">
        <f t="shared" si="1"/>
        <v>-5206.2665078385107</v>
      </c>
      <c r="L17" s="4">
        <f t="shared" si="1"/>
        <v>-4918.1083260580563</v>
      </c>
      <c r="M17" s="4">
        <f t="shared" si="1"/>
        <v>-4622.7461897330895</v>
      </c>
      <c r="N17" s="4">
        <f t="shared" si="1"/>
        <v>-4320</v>
      </c>
      <c r="O17" s="4">
        <f t="shared" si="1"/>
        <v>-4320</v>
      </c>
      <c r="P17" s="4">
        <f t="shared" si="1"/>
        <v>-4320</v>
      </c>
      <c r="Q17" s="4">
        <f t="shared" si="1"/>
        <v>-4320</v>
      </c>
      <c r="R17" s="4">
        <f t="shared" si="1"/>
        <v>-4320</v>
      </c>
      <c r="S17" s="4">
        <f t="shared" si="1"/>
        <v>-4320</v>
      </c>
      <c r="T17" s="4">
        <f t="shared" si="1"/>
        <v>-4320</v>
      </c>
      <c r="U17" s="4">
        <f t="shared" si="1"/>
        <v>-4320</v>
      </c>
      <c r="V17" s="4">
        <f t="shared" si="1"/>
        <v>-4320</v>
      </c>
      <c r="W17" s="4">
        <f t="shared" si="1"/>
        <v>-4320</v>
      </c>
      <c r="X17" s="4">
        <f t="shared" si="1"/>
        <v>-4320</v>
      </c>
      <c r="Y17" s="4">
        <f t="shared" si="1"/>
        <v>-4320</v>
      </c>
    </row>
    <row r="19" spans="1:26" x14ac:dyDescent="0.25">
      <c r="A19" s="54" t="s">
        <v>29</v>
      </c>
      <c r="B19" s="54"/>
      <c r="C19" s="54"/>
      <c r="D19" s="54"/>
      <c r="F19" s="4">
        <f t="shared" ref="F19:Y19" si="2">IF(F3&lt;&gt;"",F11+F17,"")</f>
        <v>15564.914952787065</v>
      </c>
      <c r="G19" s="4">
        <f t="shared" si="2"/>
        <v>15819.604797263482</v>
      </c>
      <c r="H19" s="4">
        <f t="shared" si="2"/>
        <v>16080.661887851809</v>
      </c>
      <c r="I19" s="4">
        <f t="shared" si="2"/>
        <v>16348.245405704845</v>
      </c>
      <c r="J19" s="4">
        <f t="shared" si="2"/>
        <v>16622.518511504208</v>
      </c>
      <c r="K19" s="4">
        <f t="shared" si="2"/>
        <v>16903.648444948554</v>
      </c>
      <c r="L19" s="4">
        <f t="shared" si="2"/>
        <v>17191.806626729009</v>
      </c>
      <c r="M19" s="4">
        <f t="shared" si="2"/>
        <v>17487.168763053975</v>
      </c>
      <c r="N19" s="4">
        <f t="shared" si="2"/>
        <v>17789.914952787065</v>
      </c>
      <c r="O19" s="4">
        <f t="shared" si="2"/>
        <v>17789.914952787065</v>
      </c>
      <c r="P19" s="4">
        <f t="shared" si="2"/>
        <v>17789.914952787065</v>
      </c>
      <c r="Q19" s="4">
        <f t="shared" si="2"/>
        <v>17789.914952787065</v>
      </c>
      <c r="R19" s="4">
        <f t="shared" si="2"/>
        <v>17789.914952787065</v>
      </c>
      <c r="S19" s="4">
        <f t="shared" si="2"/>
        <v>17789.914952787065</v>
      </c>
      <c r="T19" s="4">
        <f t="shared" si="2"/>
        <v>17789.914952787065</v>
      </c>
      <c r="U19" s="4">
        <f t="shared" si="2"/>
        <v>17789.914952787065</v>
      </c>
      <c r="V19" s="4">
        <f t="shared" si="2"/>
        <v>17789.914952787065</v>
      </c>
      <c r="W19" s="4">
        <f t="shared" si="2"/>
        <v>17789.914952787065</v>
      </c>
      <c r="X19" s="4">
        <f t="shared" si="2"/>
        <v>17789.914952787065</v>
      </c>
      <c r="Y19" s="4">
        <f t="shared" si="2"/>
        <v>17789.914952787065</v>
      </c>
    </row>
    <row r="20" spans="1:26" x14ac:dyDescent="0.25">
      <c r="A20" s="58"/>
      <c r="B20" s="58"/>
      <c r="C20" s="58"/>
      <c r="D20" s="58"/>
    </row>
    <row r="21" spans="1:26" x14ac:dyDescent="0.25">
      <c r="A21" s="57" t="s">
        <v>123</v>
      </c>
      <c r="B21" s="57"/>
      <c r="C21" s="57"/>
      <c r="D21" s="57"/>
      <c r="F21" s="4">
        <f>IF(F3&lt;&gt;"",-Investment*UnosPodataka!$M$7/((1+UnosPodataka!$M$13)^FinaIndicators!F3),"")</f>
        <v>-6923.0769230769229</v>
      </c>
      <c r="G21" s="4">
        <f>IF(G3&lt;&gt;"",-Investment*UnosPodataka!$M$7/((1+UnosPodataka!$M$13)^FinaIndicators!G3),"")</f>
        <v>-6656.8047337278103</v>
      </c>
      <c r="H21" s="4">
        <f>IF(H3&lt;&gt;"",-Investment*UnosPodataka!$M$7/((1+UnosPodataka!$M$13)^FinaIndicators!H3),"")</f>
        <v>-6400.7737824305868</v>
      </c>
      <c r="I21" s="4">
        <f>IF(I3&lt;&gt;"",-Investment*UnosPodataka!$M$7/((1+UnosPodataka!$M$13)^FinaIndicators!I3),"")</f>
        <v>-6154.590175414025</v>
      </c>
      <c r="J21" s="4">
        <f>IF(J3&lt;&gt;"",-Investment*UnosPodataka!$M$7/((1+UnosPodataka!$M$13)^FinaIndicators!J3),"")</f>
        <v>-5917.8751686673313</v>
      </c>
      <c r="K21" s="4">
        <f>IF(K3&lt;&gt;"",-Investment*UnosPodataka!$M$7/((1+UnosPodataka!$M$13)^FinaIndicators!K3),"")</f>
        <v>-5690.2645852570495</v>
      </c>
      <c r="L21" s="4">
        <f>IF(L3&lt;&gt;"",-Investment*UnosPodataka!$M$7/((1+UnosPodataka!$M$13)^FinaIndicators!L3),"")</f>
        <v>-5471.4082550548555</v>
      </c>
      <c r="M21" s="4">
        <f>IF(M3&lt;&gt;"",-Investment*UnosPodataka!$M$7/((1+UnosPodataka!$M$13)^FinaIndicators!M3),"")</f>
        <v>-5260.9694760142829</v>
      </c>
      <c r="N21" s="4">
        <f>IF(N3&lt;&gt;"",-Investment*UnosPodataka!$M$7/((1+UnosPodataka!$M$13)^FinaIndicators!N3),"")</f>
        <v>-5058.6244961675793</v>
      </c>
      <c r="O21" s="4">
        <f>IF(O3&lt;&gt;"",-Investment*UnosPodataka!$M$7/((1+UnosPodataka!$M$13)^FinaIndicators!O3),"")</f>
        <v>-4864.06201554575</v>
      </c>
      <c r="P21" s="4">
        <f>IF(P3&lt;&gt;"",-Investment*UnosPodataka!$M$7/((1+UnosPodataka!$M$13)^FinaIndicators!P3),"")</f>
        <v>-4676.982707255529</v>
      </c>
      <c r="Q21" s="4">
        <f>IF(Q3&lt;&gt;"",-Investment*UnosPodataka!$M$7/((1+UnosPodataka!$M$13)^FinaIndicators!Q3),"")</f>
        <v>-4497.0987569764693</v>
      </c>
      <c r="R21" s="4">
        <f>IF(R3&lt;&gt;"",-Investment*UnosPodataka!$M$7/((1+UnosPodataka!$M$13)^FinaIndicators!R3),"")</f>
        <v>-4324.1334201696818</v>
      </c>
      <c r="S21" s="4">
        <f>IF(S3&lt;&gt;"",-Investment*UnosPodataka!$M$7/((1+UnosPodataka!$M$13)^FinaIndicators!S3),"")</f>
        <v>-4157.8205963170012</v>
      </c>
      <c r="T21" s="4">
        <f>IF(T3&lt;&gt;"",-Investment*UnosPodataka!$M$7/((1+UnosPodataka!$M$13)^FinaIndicators!T3),"")</f>
        <v>-3997.9044195355787</v>
      </c>
      <c r="U21" s="4">
        <f>IF(U3&lt;&gt;"",-Investment*UnosPodataka!$M$7/((1+UnosPodataka!$M$13)^FinaIndicators!U3),"")</f>
        <v>-3844.1388649380556</v>
      </c>
      <c r="V21" s="4">
        <f>IF(V3&lt;&gt;"",-Investment*UnosPodataka!$M$7/((1+UnosPodataka!$M$13)^FinaIndicators!V3),"")</f>
        <v>-3696.2873701327458</v>
      </c>
      <c r="W21" s="4">
        <f>IF(W3&lt;&gt;"",-Investment*UnosPodataka!$M$7/((1+UnosPodataka!$M$13)^FinaIndicators!W3),"")</f>
        <v>-3554.122471281486</v>
      </c>
      <c r="X21" s="4">
        <f>IF(X3&lt;&gt;"",-Investment*UnosPodataka!$M$7/((1+UnosPodataka!$M$13)^FinaIndicators!X3),"")</f>
        <v>-3417.4254531552751</v>
      </c>
      <c r="Y21" s="4">
        <f>IF(Y3&lt;&gt;"",-Investment*UnosPodataka!$M$7/((1+UnosPodataka!$M$13)^FinaIndicators!Y3),"")</f>
        <v>-3285.9860126493027</v>
      </c>
    </row>
    <row r="22" spans="1:26" x14ac:dyDescent="0.25">
      <c r="A22" s="54" t="s">
        <v>28</v>
      </c>
      <c r="B22" s="54"/>
      <c r="C22" s="54"/>
      <c r="D22" s="54"/>
      <c r="F22" s="4">
        <f t="shared" ref="F22:Y22" si="3">IF(F3&lt;&gt;"",F19+F21,"")</f>
        <v>8641.838029710143</v>
      </c>
      <c r="G22" s="4">
        <f t="shared" si="3"/>
        <v>9162.800063535673</v>
      </c>
      <c r="H22" s="4">
        <f t="shared" si="3"/>
        <v>9679.8881054212216</v>
      </c>
      <c r="I22" s="4">
        <f t="shared" si="3"/>
        <v>10193.65523029082</v>
      </c>
      <c r="J22" s="4">
        <f t="shared" si="3"/>
        <v>10704.643342836876</v>
      </c>
      <c r="K22" s="4">
        <f t="shared" si="3"/>
        <v>11213.383859691505</v>
      </c>
      <c r="L22" s="4">
        <f t="shared" si="3"/>
        <v>11720.398371674153</v>
      </c>
      <c r="M22" s="4">
        <f t="shared" si="3"/>
        <v>12226.199287039692</v>
      </c>
      <c r="N22" s="4">
        <f t="shared" si="3"/>
        <v>12731.290456619485</v>
      </c>
      <c r="O22" s="4">
        <f t="shared" si="3"/>
        <v>12925.852937241314</v>
      </c>
      <c r="P22" s="4">
        <f t="shared" si="3"/>
        <v>13112.932245531536</v>
      </c>
      <c r="Q22" s="4">
        <f t="shared" si="3"/>
        <v>13292.816195810596</v>
      </c>
      <c r="R22" s="4">
        <f t="shared" si="3"/>
        <v>13465.781532617384</v>
      </c>
      <c r="S22" s="4">
        <f t="shared" si="3"/>
        <v>13632.094356470065</v>
      </c>
      <c r="T22" s="4">
        <f t="shared" si="3"/>
        <v>13792.010533251487</v>
      </c>
      <c r="U22" s="4">
        <f t="shared" si="3"/>
        <v>13945.77608784901</v>
      </c>
      <c r="V22" s="4">
        <f t="shared" si="3"/>
        <v>14093.627582654319</v>
      </c>
      <c r="W22" s="4">
        <f t="shared" si="3"/>
        <v>14235.792481505579</v>
      </c>
      <c r="X22" s="4">
        <f t="shared" si="3"/>
        <v>14372.489499631789</v>
      </c>
      <c r="Y22" s="4">
        <f t="shared" si="3"/>
        <v>14503.928940137763</v>
      </c>
    </row>
    <row r="23" spans="1:26" x14ac:dyDescent="0.25">
      <c r="A23" s="67"/>
      <c r="B23" s="67"/>
      <c r="C23" s="67"/>
      <c r="D23" s="67"/>
    </row>
    <row r="24" spans="1:26" x14ac:dyDescent="0.25">
      <c r="A24" s="57" t="s">
        <v>124</v>
      </c>
      <c r="B24" s="57"/>
      <c r="C24" s="57"/>
      <c r="D24" s="57"/>
      <c r="F24" s="4">
        <f t="shared" ref="F24:Y24" si="4">IF(F3&lt;&gt;"",IF(F22&gt;0,F22*VAT,0),"")</f>
        <v>1296.2757044565215</v>
      </c>
      <c r="G24" s="4">
        <f t="shared" si="4"/>
        <v>1374.4200095303509</v>
      </c>
      <c r="H24" s="4">
        <f t="shared" si="4"/>
        <v>1451.9832158131833</v>
      </c>
      <c r="I24" s="4">
        <f t="shared" si="4"/>
        <v>1529.0482845436229</v>
      </c>
      <c r="J24" s="4">
        <f t="shared" si="4"/>
        <v>1605.6965014255313</v>
      </c>
      <c r="K24" s="4">
        <f t="shared" si="4"/>
        <v>1682.0075789537257</v>
      </c>
      <c r="L24" s="4">
        <f t="shared" si="4"/>
        <v>1758.059755751123</v>
      </c>
      <c r="M24" s="4">
        <f t="shared" si="4"/>
        <v>1833.9298930559537</v>
      </c>
      <c r="N24" s="4">
        <f t="shared" si="4"/>
        <v>1909.6935684929226</v>
      </c>
      <c r="O24" s="4">
        <f t="shared" si="4"/>
        <v>1938.8779405861969</v>
      </c>
      <c r="P24" s="4">
        <f t="shared" si="4"/>
        <v>1966.9398368297302</v>
      </c>
      <c r="Q24" s="4">
        <f t="shared" si="4"/>
        <v>1993.9224293715893</v>
      </c>
      <c r="R24" s="4">
        <f t="shared" si="4"/>
        <v>2019.8672298926076</v>
      </c>
      <c r="S24" s="4">
        <f t="shared" si="4"/>
        <v>2044.8141534705096</v>
      </c>
      <c r="T24" s="4">
        <f t="shared" si="4"/>
        <v>2068.801579987723</v>
      </c>
      <c r="U24" s="4">
        <f t="shared" si="4"/>
        <v>2091.8664131773512</v>
      </c>
      <c r="V24" s="4">
        <f t="shared" si="4"/>
        <v>2114.0441373981475</v>
      </c>
      <c r="W24" s="4">
        <f t="shared" si="4"/>
        <v>2135.3688722258366</v>
      </c>
      <c r="X24" s="4">
        <f t="shared" si="4"/>
        <v>2155.8734249447684</v>
      </c>
      <c r="Y24" s="4">
        <f t="shared" si="4"/>
        <v>2175.5893410206645</v>
      </c>
    </row>
    <row r="25" spans="1:26" x14ac:dyDescent="0.25">
      <c r="A25" s="54" t="s">
        <v>125</v>
      </c>
      <c r="B25" s="54"/>
      <c r="C25" s="54"/>
      <c r="D25" s="54"/>
      <c r="E25" s="4">
        <f>IF(E6=E5,-E5,-E6)</f>
        <v>-25000</v>
      </c>
      <c r="F25" s="4">
        <f t="shared" ref="F25:Y25" si="5">IF(F3&lt;&gt;"",F22-F24,"")</f>
        <v>7345.5623252536216</v>
      </c>
      <c r="G25" s="4">
        <f t="shared" si="5"/>
        <v>7788.3800540053217</v>
      </c>
      <c r="H25" s="4">
        <f t="shared" si="5"/>
        <v>8227.9048896080385</v>
      </c>
      <c r="I25" s="4">
        <f t="shared" si="5"/>
        <v>8664.6069457471967</v>
      </c>
      <c r="J25" s="4">
        <f t="shared" si="5"/>
        <v>9098.9468414113453</v>
      </c>
      <c r="K25" s="4">
        <f t="shared" si="5"/>
        <v>9531.3762807377789</v>
      </c>
      <c r="L25" s="4">
        <f t="shared" si="5"/>
        <v>9962.3386159230304</v>
      </c>
      <c r="M25" s="4">
        <f t="shared" si="5"/>
        <v>10392.269393983737</v>
      </c>
      <c r="N25" s="4">
        <f t="shared" si="5"/>
        <v>10821.596888126562</v>
      </c>
      <c r="O25" s="4">
        <f t="shared" si="5"/>
        <v>10986.974996655117</v>
      </c>
      <c r="P25" s="4">
        <f t="shared" si="5"/>
        <v>11145.992408701806</v>
      </c>
      <c r="Q25" s="4">
        <f t="shared" si="5"/>
        <v>11298.893766439007</v>
      </c>
      <c r="R25" s="4">
        <f t="shared" si="5"/>
        <v>11445.914302724777</v>
      </c>
      <c r="S25" s="4">
        <f t="shared" si="5"/>
        <v>11587.280202999555</v>
      </c>
      <c r="T25" s="4">
        <f t="shared" si="5"/>
        <v>11723.208953263764</v>
      </c>
      <c r="U25" s="4">
        <f t="shared" si="5"/>
        <v>11853.909674671659</v>
      </c>
      <c r="V25" s="4">
        <f t="shared" si="5"/>
        <v>11979.583445256172</v>
      </c>
      <c r="W25" s="4">
        <f t="shared" si="5"/>
        <v>12100.423609279744</v>
      </c>
      <c r="X25" s="4">
        <f t="shared" si="5"/>
        <v>12216.616074687021</v>
      </c>
      <c r="Y25" s="4">
        <f t="shared" si="5"/>
        <v>12328.339599117098</v>
      </c>
    </row>
    <row r="26" spans="1:26" hidden="1" x14ac:dyDescent="0.25"/>
    <row r="27" spans="1:26" hidden="1" x14ac:dyDescent="0.25">
      <c r="A27" s="57" t="s">
        <v>126</v>
      </c>
      <c r="B27" s="57"/>
      <c r="C27" s="57"/>
      <c r="D27" s="57"/>
      <c r="F27" s="4">
        <f t="shared" ref="F27:Y27" si="6">IF(F3&lt;&gt;"",F17,"")</f>
        <v>-6545</v>
      </c>
      <c r="G27" s="4">
        <f t="shared" si="6"/>
        <v>-6290.3101555235826</v>
      </c>
      <c r="H27" s="4">
        <f t="shared" si="6"/>
        <v>-6029.2530649352548</v>
      </c>
      <c r="I27" s="4">
        <f t="shared" si="6"/>
        <v>-5761.6695470822187</v>
      </c>
      <c r="J27" s="4">
        <f t="shared" si="6"/>
        <v>-5487.3964412828564</v>
      </c>
      <c r="K27" s="4">
        <f t="shared" si="6"/>
        <v>-5206.2665078385107</v>
      </c>
      <c r="L27" s="4">
        <f t="shared" si="6"/>
        <v>-4918.1083260580563</v>
      </c>
      <c r="M27" s="4">
        <f t="shared" si="6"/>
        <v>-4622.7461897330895</v>
      </c>
      <c r="N27" s="4">
        <f t="shared" si="6"/>
        <v>-4320</v>
      </c>
      <c r="O27" s="4">
        <f t="shared" si="6"/>
        <v>-4320</v>
      </c>
      <c r="P27" s="4">
        <f t="shared" si="6"/>
        <v>-4320</v>
      </c>
      <c r="Q27" s="4">
        <f t="shared" si="6"/>
        <v>-4320</v>
      </c>
      <c r="R27" s="4">
        <f t="shared" si="6"/>
        <v>-4320</v>
      </c>
      <c r="S27" s="4">
        <f t="shared" si="6"/>
        <v>-4320</v>
      </c>
      <c r="T27" s="4">
        <f t="shared" si="6"/>
        <v>-4320</v>
      </c>
      <c r="U27" s="4">
        <f t="shared" si="6"/>
        <v>-4320</v>
      </c>
      <c r="V27" s="4">
        <f t="shared" si="6"/>
        <v>-4320</v>
      </c>
      <c r="W27" s="4">
        <f t="shared" si="6"/>
        <v>-4320</v>
      </c>
      <c r="X27" s="4">
        <f t="shared" si="6"/>
        <v>-4320</v>
      </c>
      <c r="Y27" s="4">
        <f t="shared" si="6"/>
        <v>-4320</v>
      </c>
      <c r="Z27" s="4"/>
    </row>
    <row r="28" spans="1:26" hidden="1" x14ac:dyDescent="0.25">
      <c r="A28" s="57" t="s">
        <v>127</v>
      </c>
      <c r="B28" s="57"/>
      <c r="C28" s="57"/>
      <c r="D28" s="57"/>
      <c r="F28" s="4">
        <f>IF(F3&lt;&gt;"",F27*(1+UnosPodataka!M13)^-FinaIndicators!F3,"")</f>
        <v>-6293.2692307692305</v>
      </c>
      <c r="G28" s="4">
        <f>IF(G3&lt;&gt;"",G27*(1+UnosPodataka!N13)^-FinaIndicators!G3,"")</f>
        <v>-6290.3101555235826</v>
      </c>
      <c r="H28" s="4">
        <f>IF(H3&lt;&gt;"",H27*(1+UnosPodataka!O13)^-FinaIndicators!H3,"")</f>
        <v>-6029.2530649352548</v>
      </c>
      <c r="I28" s="4">
        <f>IF(I3&lt;&gt;"",I27*(1+UnosPodataka!P13)^-FinaIndicators!I3,"")</f>
        <v>-5761.6695470822187</v>
      </c>
      <c r="J28" s="4">
        <f>IF(J3&lt;&gt;"",J27*(1+UnosPodataka!Q13)^-FinaIndicators!J3,"")</f>
        <v>-5487.3964412828564</v>
      </c>
      <c r="K28" s="4">
        <f>IF(K3&lt;&gt;"",K27*(1+UnosPodataka!R13)^-FinaIndicators!K3,"")</f>
        <v>-5206.2665078385107</v>
      </c>
      <c r="L28" s="4">
        <f>IF(L3&lt;&gt;"",L27*(1+UnosPodataka!S13)^-FinaIndicators!L3,"")</f>
        <v>-4918.1083260580563</v>
      </c>
      <c r="M28" s="4">
        <f>IF(M3&lt;&gt;"",M27*(1+UnosPodataka!T13)^-FinaIndicators!M3,"")</f>
        <v>-4622.7461897330895</v>
      </c>
      <c r="N28" s="4">
        <f>IF(N3&lt;&gt;"",N27*(1+UnosPodataka!U13)^-FinaIndicators!N3,"")</f>
        <v>-4320</v>
      </c>
      <c r="O28" s="4">
        <f>IF(O3&lt;&gt;"",O27*(1+UnosPodataka!V13)^-FinaIndicators!O3,"")</f>
        <v>-4320</v>
      </c>
      <c r="P28" s="4">
        <f>IF(P3&lt;&gt;"",P27*(1+UnosPodataka!W13)^-FinaIndicators!P3,"")</f>
        <v>-4320</v>
      </c>
      <c r="Q28" s="4">
        <f>IF(Q3&lt;&gt;"",Q27*(1+UnosPodataka!X13)^-FinaIndicators!Q3,"")</f>
        <v>-4320</v>
      </c>
      <c r="R28" s="4">
        <f>IF(R3&lt;&gt;"",R27*(1+UnosPodataka!Y13)^-FinaIndicators!R3,"")</f>
        <v>-4320</v>
      </c>
      <c r="S28" s="4">
        <f>IF(S3&lt;&gt;"",S27*(1+UnosPodataka!Z13)^-FinaIndicators!S3,"")</f>
        <v>-4320</v>
      </c>
      <c r="T28" s="4">
        <f>IF(T3&lt;&gt;"",T27*(1+UnosPodataka!AA13)^-FinaIndicators!T3,"")</f>
        <v>-4320</v>
      </c>
      <c r="U28" s="4">
        <f>IF(U3&lt;&gt;"",U27*(1+UnosPodataka!AB13)^-FinaIndicators!U3,"")</f>
        <v>-4320</v>
      </c>
      <c r="V28" s="4">
        <f>IF(V3&lt;&gt;"",V27*(1+UnosPodataka!AC13)^-FinaIndicators!V3,"")</f>
        <v>-4320</v>
      </c>
      <c r="W28" s="4">
        <f>IF(W3&lt;&gt;"",W27*(1+UnosPodataka!AD13)^-FinaIndicators!W3,"")</f>
        <v>-4320</v>
      </c>
      <c r="X28" s="4">
        <f>IF(X3&lt;&gt;"",X27*(1+UnosPodataka!AE13)^-FinaIndicators!X3,"")</f>
        <v>-4320</v>
      </c>
      <c r="Y28" s="4">
        <f>IF(Y3&lt;&gt;"",Y27*(1+UnosPodataka!AF13)^-FinaIndicators!Y3,"")</f>
        <v>-4320</v>
      </c>
      <c r="Z28" s="4"/>
    </row>
    <row r="29" spans="1:26" hidden="1" x14ac:dyDescent="0.25">
      <c r="A29" s="57" t="s">
        <v>128</v>
      </c>
      <c r="B29" s="57"/>
      <c r="C29" s="57"/>
      <c r="D29" s="57"/>
      <c r="E29" s="4">
        <f>-E5</f>
        <v>-89000</v>
      </c>
      <c r="F29" s="4">
        <f t="shared" ref="F29:Y29" si="7">IF(F3&lt;&gt;"",E29+F28,"")</f>
        <v>-95293.269230769234</v>
      </c>
      <c r="G29" s="4">
        <f t="shared" si="7"/>
        <v>-101583.57938629281</v>
      </c>
      <c r="H29" s="4">
        <f t="shared" si="7"/>
        <v>-107612.83245122807</v>
      </c>
      <c r="I29" s="4">
        <f t="shared" si="7"/>
        <v>-113374.50199831028</v>
      </c>
      <c r="J29" s="4">
        <f t="shared" si="7"/>
        <v>-118861.89843959313</v>
      </c>
      <c r="K29" s="4">
        <f t="shared" si="7"/>
        <v>-124068.16494743165</v>
      </c>
      <c r="L29" s="4">
        <f t="shared" si="7"/>
        <v>-128986.2732734897</v>
      </c>
      <c r="M29" s="4">
        <f t="shared" si="7"/>
        <v>-133609.01946322279</v>
      </c>
      <c r="N29" s="4">
        <f t="shared" si="7"/>
        <v>-137929.01946322279</v>
      </c>
      <c r="O29" s="4">
        <f t="shared" si="7"/>
        <v>-142249.01946322279</v>
      </c>
      <c r="P29" s="4">
        <f t="shared" si="7"/>
        <v>-146569.01946322279</v>
      </c>
      <c r="Q29" s="4">
        <f t="shared" si="7"/>
        <v>-150889.01946322279</v>
      </c>
      <c r="R29" s="4">
        <f t="shared" si="7"/>
        <v>-155209.01946322279</v>
      </c>
      <c r="S29" s="4">
        <f t="shared" si="7"/>
        <v>-159529.01946322279</v>
      </c>
      <c r="T29" s="4">
        <f t="shared" si="7"/>
        <v>-163849.01946322279</v>
      </c>
      <c r="U29" s="4">
        <f t="shared" si="7"/>
        <v>-168169.01946322279</v>
      </c>
      <c r="V29" s="4">
        <f t="shared" si="7"/>
        <v>-172489.01946322279</v>
      </c>
      <c r="W29" s="4">
        <f t="shared" si="7"/>
        <v>-176809.01946322279</v>
      </c>
      <c r="X29" s="4">
        <f t="shared" si="7"/>
        <v>-181129.01946322279</v>
      </c>
      <c r="Y29" s="4">
        <f t="shared" si="7"/>
        <v>-185449.01946322279</v>
      </c>
    </row>
    <row r="30" spans="1:26" hidden="1" x14ac:dyDescent="0.25">
      <c r="A30" s="57" t="s">
        <v>129</v>
      </c>
      <c r="B30" s="57"/>
      <c r="C30" s="57"/>
      <c r="D30" s="57"/>
      <c r="F30" s="4">
        <f t="shared" ref="F30:Y30" si="8">IF(F3&lt;&gt;"",F11,"")</f>
        <v>22109.914952787065</v>
      </c>
      <c r="G30" s="4">
        <f t="shared" si="8"/>
        <v>22109.914952787065</v>
      </c>
      <c r="H30" s="4">
        <f t="shared" si="8"/>
        <v>22109.914952787065</v>
      </c>
      <c r="I30" s="4">
        <f t="shared" si="8"/>
        <v>22109.914952787065</v>
      </c>
      <c r="J30" s="4">
        <f t="shared" si="8"/>
        <v>22109.914952787065</v>
      </c>
      <c r="K30" s="4">
        <f t="shared" si="8"/>
        <v>22109.914952787065</v>
      </c>
      <c r="L30" s="4">
        <f t="shared" si="8"/>
        <v>22109.914952787065</v>
      </c>
      <c r="M30" s="4">
        <f t="shared" si="8"/>
        <v>22109.914952787065</v>
      </c>
      <c r="N30" s="4">
        <f t="shared" si="8"/>
        <v>22109.914952787065</v>
      </c>
      <c r="O30" s="4">
        <f t="shared" si="8"/>
        <v>22109.914952787065</v>
      </c>
      <c r="P30" s="4">
        <f t="shared" si="8"/>
        <v>22109.914952787065</v>
      </c>
      <c r="Q30" s="4">
        <f t="shared" si="8"/>
        <v>22109.914952787065</v>
      </c>
      <c r="R30" s="4">
        <f t="shared" si="8"/>
        <v>22109.914952787065</v>
      </c>
      <c r="S30" s="4">
        <f t="shared" si="8"/>
        <v>22109.914952787065</v>
      </c>
      <c r="T30" s="4">
        <f t="shared" si="8"/>
        <v>22109.914952787065</v>
      </c>
      <c r="U30" s="4">
        <f t="shared" si="8"/>
        <v>22109.914952787065</v>
      </c>
      <c r="V30" s="4">
        <f t="shared" si="8"/>
        <v>22109.914952787065</v>
      </c>
      <c r="W30" s="4">
        <f t="shared" si="8"/>
        <v>22109.914952787065</v>
      </c>
      <c r="X30" s="4">
        <f t="shared" si="8"/>
        <v>22109.914952787065</v>
      </c>
      <c r="Y30" s="4">
        <f t="shared" si="8"/>
        <v>22109.914952787065</v>
      </c>
    </row>
    <row r="31" spans="1:26" hidden="1" x14ac:dyDescent="0.25">
      <c r="A31" s="57" t="s">
        <v>130</v>
      </c>
      <c r="B31" s="57"/>
      <c r="C31" s="57"/>
      <c r="D31" s="57"/>
      <c r="F31" s="4">
        <f>IF(F3&lt;&gt;"",F30*(1+UnosPodataka!M13)^-F3,"")</f>
        <v>21259.533608449099</v>
      </c>
      <c r="G31" s="4">
        <f>IF(G3&lt;&gt;"",G30*(1+UnosPodataka!N13)^-G3,"")</f>
        <v>22109.914952787065</v>
      </c>
      <c r="H31" s="4">
        <f>IF(H3&lt;&gt;"",H30*(1+UnosPodataka!O13)^-H3,"")</f>
        <v>22109.914952787065</v>
      </c>
      <c r="I31" s="4">
        <f>IF(I3&lt;&gt;"",I30*(1+UnosPodataka!P13)^-I3,"")</f>
        <v>22109.914952787065</v>
      </c>
      <c r="J31" s="4">
        <f>IF(J3&lt;&gt;"",J30*(1+UnosPodataka!Q13)^-J3,"")</f>
        <v>22109.914952787065</v>
      </c>
      <c r="K31" s="4">
        <f>IF(K3&lt;&gt;"",K30*(1+UnosPodataka!R13)^-K3,"")</f>
        <v>22109.914952787065</v>
      </c>
      <c r="L31" s="4">
        <f>IF(L3&lt;&gt;"",L30*(1+UnosPodataka!S13)^-L3,"")</f>
        <v>22109.914952787065</v>
      </c>
      <c r="M31" s="4">
        <f>IF(M3&lt;&gt;"",M30*(1+UnosPodataka!T13)^-M3,"")</f>
        <v>22109.914952787065</v>
      </c>
      <c r="N31" s="4">
        <f>IF(N3&lt;&gt;"",N30*(1+UnosPodataka!U13)^-N3,"")</f>
        <v>22109.914952787065</v>
      </c>
      <c r="O31" s="4">
        <f>IF(O3&lt;&gt;"",O30*(1+UnosPodataka!V13)^-O3,"")</f>
        <v>22109.914952787065</v>
      </c>
      <c r="P31" s="4">
        <f>IF(P3&lt;&gt;"",P30*(1+UnosPodataka!W13)^-P3,"")</f>
        <v>22109.914952787065</v>
      </c>
      <c r="Q31" s="4">
        <f>IF(Q3&lt;&gt;"",Q30*(1+UnosPodataka!X13)^-Q3,"")</f>
        <v>22109.914952787065</v>
      </c>
      <c r="R31" s="4">
        <f>IF(R3&lt;&gt;"",R30*(1+UnosPodataka!Y13)^-R3,"")</f>
        <v>22109.914952787065</v>
      </c>
      <c r="S31" s="4">
        <f>IF(S3&lt;&gt;"",S30*(1+UnosPodataka!Z13)^-S3,"")</f>
        <v>22109.914952787065</v>
      </c>
      <c r="T31" s="4">
        <f>IF(T3&lt;&gt;"",T30*(1+UnosPodataka!AA13)^-T3,"")</f>
        <v>22109.914952787065</v>
      </c>
      <c r="U31" s="4">
        <f>IF(U3&lt;&gt;"",U30*(1+UnosPodataka!AB13)^-U3,"")</f>
        <v>22109.914952787065</v>
      </c>
      <c r="V31" s="4">
        <f>IF(V3&lt;&gt;"",V30*(1+UnosPodataka!AC13)^-V3,"")</f>
        <v>22109.914952787065</v>
      </c>
      <c r="W31" s="4">
        <f>IF(W3&lt;&gt;"",W30*(1+UnosPodataka!AD13)^-W3,"")</f>
        <v>22109.914952787065</v>
      </c>
      <c r="X31" s="4">
        <f>IF(X3&lt;&gt;"",X30*(1+UnosPodataka!AE13)^-X3,"")</f>
        <v>22109.914952787065</v>
      </c>
      <c r="Y31" s="4">
        <f>IF(Y3&lt;&gt;"",Y30*(1+UnosPodataka!AF13)^-Y3,"")</f>
        <v>22109.914952787065</v>
      </c>
    </row>
    <row r="32" spans="1:26" hidden="1" x14ac:dyDescent="0.25">
      <c r="A32" s="57" t="s">
        <v>131</v>
      </c>
      <c r="B32" s="57"/>
      <c r="C32" s="57"/>
      <c r="D32" s="57"/>
      <c r="F32" s="4">
        <f t="shared" ref="F32:Y32" si="9">IF(F3&lt;&gt;"",E32+F31,"")</f>
        <v>21259.533608449099</v>
      </c>
      <c r="G32" s="4">
        <f t="shared" si="9"/>
        <v>43369.44856123616</v>
      </c>
      <c r="H32" s="4">
        <f t="shared" si="9"/>
        <v>65479.363514023222</v>
      </c>
      <c r="I32" s="4">
        <f t="shared" si="9"/>
        <v>87589.278466810283</v>
      </c>
      <c r="J32" s="4">
        <f t="shared" si="9"/>
        <v>109699.19341959734</v>
      </c>
      <c r="K32" s="4">
        <f t="shared" si="9"/>
        <v>131809.10837238442</v>
      </c>
      <c r="L32" s="4">
        <f t="shared" si="9"/>
        <v>153919.0233251715</v>
      </c>
      <c r="M32" s="4">
        <f t="shared" si="9"/>
        <v>176028.93827795857</v>
      </c>
      <c r="N32" s="4">
        <f t="shared" si="9"/>
        <v>198138.85323074565</v>
      </c>
      <c r="O32" s="4">
        <f t="shared" si="9"/>
        <v>220248.76818353272</v>
      </c>
      <c r="P32" s="4">
        <f t="shared" si="9"/>
        <v>242358.6831363198</v>
      </c>
      <c r="Q32" s="4">
        <f t="shared" si="9"/>
        <v>264468.59808910685</v>
      </c>
      <c r="R32" s="4">
        <f t="shared" si="9"/>
        <v>286578.51304189389</v>
      </c>
      <c r="S32" s="4">
        <f t="shared" si="9"/>
        <v>308688.42799468094</v>
      </c>
      <c r="T32" s="4">
        <f t="shared" si="9"/>
        <v>330798.34294746799</v>
      </c>
      <c r="U32" s="4">
        <f t="shared" si="9"/>
        <v>352908.25790025503</v>
      </c>
      <c r="V32" s="4">
        <f t="shared" si="9"/>
        <v>375018.17285304208</v>
      </c>
      <c r="W32" s="4">
        <f t="shared" si="9"/>
        <v>397128.08780582913</v>
      </c>
      <c r="X32" s="4">
        <f t="shared" si="9"/>
        <v>419238.00275861617</v>
      </c>
      <c r="Y32" s="4">
        <f t="shared" si="9"/>
        <v>441347.91771140322</v>
      </c>
    </row>
    <row r="33" spans="1:25" hidden="1" x14ac:dyDescent="0.25">
      <c r="A33" s="57" t="s">
        <v>132</v>
      </c>
      <c r="B33" s="57"/>
      <c r="C33" s="57"/>
      <c r="D33" s="57"/>
      <c r="F33" s="4">
        <f t="shared" ref="F33:Y33" si="10">IF(F3&lt;&gt;"",F32+F29,"")</f>
        <v>-74033.735622320135</v>
      </c>
      <c r="G33" s="4">
        <f t="shared" si="10"/>
        <v>-58214.130825056651</v>
      </c>
      <c r="H33" s="4">
        <f t="shared" si="10"/>
        <v>-42133.468937204845</v>
      </c>
      <c r="I33" s="4">
        <f t="shared" si="10"/>
        <v>-25785.2235315</v>
      </c>
      <c r="J33" s="4">
        <f t="shared" si="10"/>
        <v>-9162.7050199957885</v>
      </c>
      <c r="K33" s="4">
        <f t="shared" si="10"/>
        <v>7740.9434249527694</v>
      </c>
      <c r="L33" s="4">
        <f t="shared" si="10"/>
        <v>24932.750051681796</v>
      </c>
      <c r="M33" s="4">
        <f t="shared" si="10"/>
        <v>42419.918814735778</v>
      </c>
      <c r="N33" s="4">
        <f t="shared" si="10"/>
        <v>60209.833767522854</v>
      </c>
      <c r="O33" s="4">
        <f t="shared" si="10"/>
        <v>77999.74872030993</v>
      </c>
      <c r="P33" s="4">
        <f t="shared" si="10"/>
        <v>95789.663673097006</v>
      </c>
      <c r="Q33" s="4">
        <f t="shared" si="10"/>
        <v>113579.57862588405</v>
      </c>
      <c r="R33" s="4">
        <f t="shared" si="10"/>
        <v>131369.4935786711</v>
      </c>
      <c r="S33" s="4">
        <f t="shared" si="10"/>
        <v>149159.40853145815</v>
      </c>
      <c r="T33" s="4">
        <f t="shared" si="10"/>
        <v>166949.32348424519</v>
      </c>
      <c r="U33" s="4">
        <f t="shared" si="10"/>
        <v>184739.23843703224</v>
      </c>
      <c r="V33" s="4">
        <f t="shared" si="10"/>
        <v>202529.15338981929</v>
      </c>
      <c r="W33" s="4">
        <f t="shared" si="10"/>
        <v>220319.06834260633</v>
      </c>
      <c r="X33" s="4">
        <f t="shared" si="10"/>
        <v>238108.98329539338</v>
      </c>
      <c r="Y33" s="4">
        <f t="shared" si="10"/>
        <v>255898.89824818043</v>
      </c>
    </row>
    <row r="35" spans="1:25" x14ac:dyDescent="0.25">
      <c r="A35" s="57" t="s">
        <v>133</v>
      </c>
      <c r="B35" s="57"/>
      <c r="C35" s="57"/>
      <c r="D35" s="57"/>
      <c r="E35" s="4">
        <f>E5</f>
        <v>89000</v>
      </c>
      <c r="F35" s="4">
        <f t="shared" ref="F35:Y35" si="11">IF(F3="",E35,-F29)</f>
        <v>95293.269230769234</v>
      </c>
      <c r="G35" s="4">
        <f t="shared" si="11"/>
        <v>101583.57938629281</v>
      </c>
      <c r="H35" s="4">
        <f t="shared" si="11"/>
        <v>107612.83245122807</v>
      </c>
      <c r="I35" s="4">
        <f t="shared" si="11"/>
        <v>113374.50199831028</v>
      </c>
      <c r="J35" s="4">
        <f t="shared" si="11"/>
        <v>118861.89843959313</v>
      </c>
      <c r="K35" s="4">
        <f t="shared" si="11"/>
        <v>124068.16494743165</v>
      </c>
      <c r="L35" s="4">
        <f t="shared" si="11"/>
        <v>128986.2732734897</v>
      </c>
      <c r="M35" s="4">
        <f t="shared" si="11"/>
        <v>133609.01946322279</v>
      </c>
      <c r="N35" s="4">
        <f t="shared" si="11"/>
        <v>137929.01946322279</v>
      </c>
      <c r="O35" s="4">
        <f t="shared" si="11"/>
        <v>142249.01946322279</v>
      </c>
      <c r="P35" s="4">
        <f t="shared" si="11"/>
        <v>146569.01946322279</v>
      </c>
      <c r="Q35" s="4">
        <f t="shared" si="11"/>
        <v>150889.01946322279</v>
      </c>
      <c r="R35" s="4">
        <f t="shared" si="11"/>
        <v>155209.01946322279</v>
      </c>
      <c r="S35" s="4">
        <f t="shared" si="11"/>
        <v>159529.01946322279</v>
      </c>
      <c r="T35" s="4">
        <f t="shared" si="11"/>
        <v>163849.01946322279</v>
      </c>
      <c r="U35" s="4">
        <f t="shared" si="11"/>
        <v>168169.01946322279</v>
      </c>
      <c r="V35" s="4">
        <f t="shared" si="11"/>
        <v>172489.01946322279</v>
      </c>
      <c r="W35" s="4">
        <f t="shared" si="11"/>
        <v>176809.01946322279</v>
      </c>
      <c r="X35" s="4">
        <f t="shared" si="11"/>
        <v>181129.01946322279</v>
      </c>
      <c r="Y35" s="4">
        <f t="shared" si="11"/>
        <v>185449.01946322279</v>
      </c>
    </row>
    <row r="36" spans="1:25" x14ac:dyDescent="0.25">
      <c r="A36" s="57" t="s">
        <v>134</v>
      </c>
      <c r="B36" s="57"/>
      <c r="C36" s="57"/>
      <c r="D36" s="57"/>
      <c r="F36" s="4">
        <f t="shared" ref="F36:Y36" si="12">IF(F3="",E36,F32)</f>
        <v>21259.533608449099</v>
      </c>
      <c r="G36" s="4">
        <f t="shared" si="12"/>
        <v>43369.44856123616</v>
      </c>
      <c r="H36" s="4">
        <f t="shared" si="12"/>
        <v>65479.363514023222</v>
      </c>
      <c r="I36" s="4">
        <f t="shared" si="12"/>
        <v>87589.278466810283</v>
      </c>
      <c r="J36" s="4">
        <f t="shared" si="12"/>
        <v>109699.19341959734</v>
      </c>
      <c r="K36" s="4">
        <f t="shared" si="12"/>
        <v>131809.10837238442</v>
      </c>
      <c r="L36" s="4">
        <f t="shared" si="12"/>
        <v>153919.0233251715</v>
      </c>
      <c r="M36" s="4">
        <f t="shared" si="12"/>
        <v>176028.93827795857</v>
      </c>
      <c r="N36" s="4">
        <f t="shared" si="12"/>
        <v>198138.85323074565</v>
      </c>
      <c r="O36" s="4">
        <f t="shared" si="12"/>
        <v>220248.76818353272</v>
      </c>
      <c r="P36" s="4">
        <f t="shared" si="12"/>
        <v>242358.6831363198</v>
      </c>
      <c r="Q36" s="4">
        <f t="shared" si="12"/>
        <v>264468.59808910685</v>
      </c>
      <c r="R36" s="4">
        <f t="shared" si="12"/>
        <v>286578.51304189389</v>
      </c>
      <c r="S36" s="4">
        <f t="shared" si="12"/>
        <v>308688.42799468094</v>
      </c>
      <c r="T36" s="4">
        <f t="shared" si="12"/>
        <v>330798.34294746799</v>
      </c>
      <c r="U36" s="4">
        <f t="shared" si="12"/>
        <v>352908.25790025503</v>
      </c>
      <c r="V36" s="4">
        <f t="shared" si="12"/>
        <v>375018.17285304208</v>
      </c>
      <c r="W36" s="4">
        <f t="shared" si="12"/>
        <v>397128.08780582913</v>
      </c>
      <c r="X36" s="4">
        <f t="shared" si="12"/>
        <v>419238.00275861617</v>
      </c>
      <c r="Y36" s="4">
        <f t="shared" si="12"/>
        <v>441347.91771140322</v>
      </c>
    </row>
    <row r="38" spans="1:25" x14ac:dyDescent="0.25">
      <c r="A38" s="59" t="s">
        <v>30</v>
      </c>
      <c r="B38" s="59"/>
      <c r="C38" s="59"/>
      <c r="D38" s="59"/>
      <c r="E38" s="22">
        <f>NPV(UnosPodataka!M13,FinaIndicators!E25:Y25)</f>
        <v>109072.58415925325</v>
      </c>
    </row>
    <row r="39" spans="1:25" x14ac:dyDescent="0.25">
      <c r="A39" s="59" t="s">
        <v>31</v>
      </c>
      <c r="B39" s="59"/>
      <c r="C39" s="59"/>
      <c r="D39" s="59"/>
      <c r="E39" s="23">
        <f>IRR(E25:Z25,UnosPodataka!M13)</f>
        <v>0.34050308747131575</v>
      </c>
    </row>
  </sheetData>
  <sheetProtection selectLockedCells="1"/>
  <mergeCells count="35">
    <mergeCell ref="A5:D5"/>
    <mergeCell ref="A6:D6"/>
    <mergeCell ref="A13:D13"/>
    <mergeCell ref="A9:D9"/>
    <mergeCell ref="A38:D38"/>
    <mergeCell ref="A39:D39"/>
    <mergeCell ref="A32:D32"/>
    <mergeCell ref="A19:D19"/>
    <mergeCell ref="A21:D21"/>
    <mergeCell ref="A22:D22"/>
    <mergeCell ref="A20:D20"/>
    <mergeCell ref="A24:D24"/>
    <mergeCell ref="A25:D25"/>
    <mergeCell ref="A23:D23"/>
    <mergeCell ref="A27:D27"/>
    <mergeCell ref="A28:D28"/>
    <mergeCell ref="A29:D29"/>
    <mergeCell ref="A30:D30"/>
    <mergeCell ref="A31:D31"/>
    <mergeCell ref="I1:J1"/>
    <mergeCell ref="N1:O1"/>
    <mergeCell ref="A33:D33"/>
    <mergeCell ref="A35:D35"/>
    <mergeCell ref="A36:D36"/>
    <mergeCell ref="A15:D15"/>
    <mergeCell ref="A16:D16"/>
    <mergeCell ref="A17:D17"/>
    <mergeCell ref="A7:D7"/>
    <mergeCell ref="A10:D10"/>
    <mergeCell ref="A12:D12"/>
    <mergeCell ref="A8:D8"/>
    <mergeCell ref="A11:D11"/>
    <mergeCell ref="A14:D14"/>
    <mergeCell ref="A1:D1"/>
    <mergeCell ref="A3:D3"/>
  </mergeCells>
  <hyperlinks>
    <hyperlink ref="I1:J1" location="Anuiteti!I4" display="NAZAD"/>
    <hyperlink ref="N1:O1" location="EconIndicators!A1" display="DALJ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zoomScale="80" zoomScaleNormal="80" workbookViewId="0">
      <selection activeCell="N1" sqref="N1:O1"/>
    </sheetView>
  </sheetViews>
  <sheetFormatPr defaultRowHeight="15" x14ac:dyDescent="0.25"/>
  <cols>
    <col min="4" max="4" width="13.85546875" customWidth="1"/>
    <col min="5" max="5" width="12.7109375" customWidth="1"/>
    <col min="6" max="6" width="11.85546875" customWidth="1"/>
    <col min="7" max="7" width="11.28515625" customWidth="1"/>
    <col min="8" max="8" width="12.42578125" customWidth="1"/>
    <col min="9" max="9" width="12.5703125" customWidth="1"/>
    <col min="10" max="10" width="12.140625" customWidth="1"/>
    <col min="11" max="11" width="11.7109375" customWidth="1"/>
    <col min="12" max="12" width="11.5703125" customWidth="1"/>
    <col min="13" max="13" width="11.85546875" customWidth="1"/>
    <col min="14" max="14" width="12.42578125" customWidth="1"/>
    <col min="15" max="15" width="12" customWidth="1"/>
    <col min="16" max="16" width="12.42578125" customWidth="1"/>
    <col min="17" max="17" width="11.5703125" customWidth="1"/>
    <col min="18" max="19" width="12" customWidth="1"/>
    <col min="20" max="20" width="11.28515625" customWidth="1"/>
    <col min="21" max="21" width="12.28515625" customWidth="1"/>
    <col min="22" max="22" width="11.7109375" customWidth="1"/>
    <col min="23" max="23" width="11.42578125" customWidth="1"/>
    <col min="24" max="24" width="12.7109375" customWidth="1"/>
    <col min="25" max="25" width="11.7109375" customWidth="1"/>
  </cols>
  <sheetData>
    <row r="1" spans="1:25" ht="21" x14ac:dyDescent="0.35">
      <c r="A1" s="62" t="s">
        <v>135</v>
      </c>
      <c r="B1" s="62"/>
      <c r="C1" s="62"/>
      <c r="D1" s="62"/>
      <c r="I1" s="64" t="s">
        <v>160</v>
      </c>
      <c r="J1" s="64"/>
      <c r="N1" s="65" t="s">
        <v>161</v>
      </c>
      <c r="O1" s="65"/>
    </row>
    <row r="3" spans="1:25" x14ac:dyDescent="0.25">
      <c r="A3" s="54" t="s">
        <v>68</v>
      </c>
      <c r="B3" s="54"/>
      <c r="C3" s="54"/>
      <c r="D3" s="54"/>
      <c r="E3" s="18">
        <v>0</v>
      </c>
      <c r="F3" s="18">
        <v>1</v>
      </c>
      <c r="G3" s="18">
        <f>IF(F3&lt;UnosPodataka!$M$18,EconIndicators!F3+1,"")</f>
        <v>2</v>
      </c>
      <c r="H3" s="37">
        <f>IF(G3&lt;UnosPodataka!$M$18,EconIndicators!G3+1,"")</f>
        <v>3</v>
      </c>
      <c r="I3" s="37">
        <f>IF(H3&lt;UnosPodataka!$M$18,EconIndicators!H3+1,"")</f>
        <v>4</v>
      </c>
      <c r="J3" s="37">
        <f>IF(I3&lt;UnosPodataka!$M$18,EconIndicators!I3+1,"")</f>
        <v>5</v>
      </c>
      <c r="K3" s="37">
        <f>IF(J3&lt;UnosPodataka!$M$18,EconIndicators!J3+1,"")</f>
        <v>6</v>
      </c>
      <c r="L3" s="37">
        <f>IF(K3&lt;UnosPodataka!$M$18,EconIndicators!K3+1,"")</f>
        <v>7</v>
      </c>
      <c r="M3" s="37">
        <f>IF(L3&lt;UnosPodataka!$M$18,EconIndicators!L3+1,"")</f>
        <v>8</v>
      </c>
      <c r="N3" s="37">
        <f>IF(M3&lt;UnosPodataka!$M$18,EconIndicators!M3+1,"")</f>
        <v>9</v>
      </c>
      <c r="O3" s="37">
        <f>IF(N3&lt;UnosPodataka!$M$18,EconIndicators!N3+1,"")</f>
        <v>10</v>
      </c>
      <c r="P3" s="37">
        <f>IF(O3&lt;UnosPodataka!$M$18,EconIndicators!O3+1,"")</f>
        <v>11</v>
      </c>
      <c r="Q3" s="37">
        <f>IF(P3&lt;UnosPodataka!$M$18,EconIndicators!P3+1,"")</f>
        <v>12</v>
      </c>
      <c r="R3" s="37">
        <f>IF(Q3&lt;UnosPodataka!$M$18,EconIndicators!Q3+1,"")</f>
        <v>13</v>
      </c>
      <c r="S3" s="37">
        <f>IF(R3&lt;UnosPodataka!$M$18,EconIndicators!R3+1,"")</f>
        <v>14</v>
      </c>
      <c r="T3" s="37">
        <f>IF(S3&lt;UnosPodataka!$M$18,EconIndicators!S3+1,"")</f>
        <v>15</v>
      </c>
      <c r="U3" s="37">
        <f>IF(T3&lt;UnosPodataka!$M$18,EconIndicators!T3+1,"")</f>
        <v>16</v>
      </c>
      <c r="V3" s="37">
        <f>IF(U3&lt;UnosPodataka!$M$18,EconIndicators!U3+1,"")</f>
        <v>17</v>
      </c>
      <c r="W3" s="37">
        <f>IF(V3&lt;UnosPodataka!$M$18,EconIndicators!V3+1,"")</f>
        <v>18</v>
      </c>
      <c r="X3" s="37">
        <f>IF(W3&lt;UnosPodataka!$M$18,EconIndicators!W3+1,"")</f>
        <v>19</v>
      </c>
      <c r="Y3" s="37">
        <f>IF(X3&lt;UnosPodataka!$M$18,EconIndicators!X3+1,"")</f>
        <v>20</v>
      </c>
    </row>
    <row r="5" spans="1:25" x14ac:dyDescent="0.25">
      <c r="A5" s="57" t="s">
        <v>115</v>
      </c>
      <c r="B5" s="57"/>
      <c r="C5" s="57"/>
      <c r="D5" s="57"/>
      <c r="E5" s="4">
        <f>LOAN</f>
        <v>89000</v>
      </c>
    </row>
    <row r="6" spans="1:25" x14ac:dyDescent="0.25">
      <c r="A6" s="57" t="s">
        <v>116</v>
      </c>
      <c r="B6" s="57"/>
      <c r="C6" s="57"/>
      <c r="D6" s="57"/>
      <c r="E6" s="4">
        <f>IF(Equity=0,LOAN,Equity)</f>
        <v>25000</v>
      </c>
    </row>
    <row r="7" spans="1:25" x14ac:dyDescent="0.25">
      <c r="A7" s="58"/>
      <c r="B7" s="58"/>
      <c r="C7" s="58"/>
      <c r="D7" s="58"/>
    </row>
    <row r="8" spans="1:25" x14ac:dyDescent="0.25">
      <c r="A8" s="57" t="s">
        <v>136</v>
      </c>
      <c r="B8" s="57"/>
      <c r="C8" s="57"/>
      <c r="D8" s="57"/>
      <c r="F8" s="4">
        <f>IF(F3&lt;&gt;"",Ustede!$F$14,"")</f>
        <v>356.08311398399997</v>
      </c>
      <c r="G8" s="4">
        <f>IF(G3&lt;&gt;"",Ustede!$F$14,"")</f>
        <v>356.08311398399997</v>
      </c>
      <c r="H8" s="4">
        <f>IF(H3&lt;&gt;"",Ustede!$F$14,"")</f>
        <v>356.08311398399997</v>
      </c>
      <c r="I8" s="4">
        <f>IF(I3&lt;&gt;"",Ustede!$F$14,"")</f>
        <v>356.08311398399997</v>
      </c>
      <c r="J8" s="4">
        <f>IF(J3&lt;&gt;"",Ustede!$F$14,"")</f>
        <v>356.08311398399997</v>
      </c>
      <c r="K8" s="4">
        <f>IF(K3&lt;&gt;"",Ustede!$F$14,"")</f>
        <v>356.08311398399997</v>
      </c>
      <c r="L8" s="4">
        <f>IF(L3&lt;&gt;"",Ustede!$F$14,"")</f>
        <v>356.08311398399997</v>
      </c>
      <c r="M8" s="4">
        <f>IF(M3&lt;&gt;"",Ustede!$F$14,"")</f>
        <v>356.08311398399997</v>
      </c>
      <c r="N8" s="4">
        <f>IF(N3&lt;&gt;"",Ustede!$F$14,"")</f>
        <v>356.08311398399997</v>
      </c>
      <c r="O8" s="4">
        <f>IF(O3&lt;&gt;"",Ustede!$F$14,"")</f>
        <v>356.08311398399997</v>
      </c>
      <c r="P8" s="4">
        <f>IF(P3&lt;&gt;"",Ustede!$F$14,"")</f>
        <v>356.08311398399997</v>
      </c>
      <c r="Q8" s="4">
        <f>IF(Q3&lt;&gt;"",Ustede!$F$14,"")</f>
        <v>356.08311398399997</v>
      </c>
      <c r="R8" s="4">
        <f>IF(R3&lt;&gt;"",Ustede!$F$14,"")</f>
        <v>356.08311398399997</v>
      </c>
      <c r="S8" s="4">
        <f>IF(S3&lt;&gt;"",Ustede!$F$14,"")</f>
        <v>356.08311398399997</v>
      </c>
      <c r="T8" s="4">
        <f>IF(T3&lt;&gt;"",Ustede!$F$14,"")</f>
        <v>356.08311398399997</v>
      </c>
      <c r="U8" s="4">
        <f>IF(U3&lt;&gt;"",Ustede!$F$14,"")</f>
        <v>356.08311398399997</v>
      </c>
      <c r="V8" s="4">
        <f>IF(V3&lt;&gt;"",Ustede!$F$14,"")</f>
        <v>356.08311398399997</v>
      </c>
      <c r="W8" s="4">
        <f>IF(W3&lt;&gt;"",Ustede!$F$14,"")</f>
        <v>356.08311398399997</v>
      </c>
      <c r="X8" s="4">
        <f>IF(X3&lt;&gt;"",Ustede!$F$14,"")</f>
        <v>356.08311398399997</v>
      </c>
      <c r="Y8" s="4">
        <f>IF(Y3&lt;&gt;"",Ustede!$F$14,"")</f>
        <v>356.08311398399997</v>
      </c>
    </row>
    <row r="9" spans="1:25" x14ac:dyDescent="0.25">
      <c r="A9" s="57" t="s">
        <v>137</v>
      </c>
      <c r="B9" s="57"/>
      <c r="C9" s="57"/>
      <c r="D9" s="57"/>
      <c r="F9" s="4">
        <f>IF(F3&lt;&gt;"",(Ustede!$F$5-Ustede!$F$6),"")</f>
        <v>930</v>
      </c>
      <c r="G9" s="4">
        <f>IF(G3&lt;&gt;"",(Ustede!$F$5-Ustede!$F$6),"")</f>
        <v>930</v>
      </c>
      <c r="H9" s="4">
        <f>IF(H3&lt;&gt;"",(Ustede!$F$5-Ustede!$F$6),"")</f>
        <v>930</v>
      </c>
      <c r="I9" s="4">
        <f>IF(I3&lt;&gt;"",(Ustede!$F$5-Ustede!$F$6),"")</f>
        <v>930</v>
      </c>
      <c r="J9" s="4">
        <f>IF(J3&lt;&gt;"",(Ustede!$F$5-Ustede!$F$6),"")</f>
        <v>930</v>
      </c>
      <c r="K9" s="4">
        <f>IF(K3&lt;&gt;"",(Ustede!$F$5-Ustede!$F$6),"")</f>
        <v>930</v>
      </c>
      <c r="L9" s="4">
        <f>IF(L3&lt;&gt;"",(Ustede!$F$5-Ustede!$F$6),"")</f>
        <v>930</v>
      </c>
      <c r="M9" s="4">
        <f>IF(M3&lt;&gt;"",(Ustede!$F$5-Ustede!$F$6),"")</f>
        <v>930</v>
      </c>
      <c r="N9" s="4">
        <f>IF(N3&lt;&gt;"",(Ustede!$F$5-Ustede!$F$6),"")</f>
        <v>930</v>
      </c>
      <c r="O9" s="4">
        <f>IF(O3&lt;&gt;"",(Ustede!$F$5-Ustede!$F$6),"")</f>
        <v>930</v>
      </c>
      <c r="P9" s="4">
        <f>IF(P3&lt;&gt;"",(Ustede!$F$5-Ustede!$F$6),"")</f>
        <v>930</v>
      </c>
      <c r="Q9" s="4">
        <f>IF(Q3&lt;&gt;"",(Ustede!$F$5-Ustede!$F$6),"")</f>
        <v>930</v>
      </c>
      <c r="R9" s="4">
        <f>IF(R3&lt;&gt;"",(Ustede!$F$5-Ustede!$F$6),"")</f>
        <v>930</v>
      </c>
      <c r="S9" s="4">
        <f>IF(S3&lt;&gt;"",(Ustede!$F$5-Ustede!$F$6),"")</f>
        <v>930</v>
      </c>
      <c r="T9" s="4">
        <f>IF(T3&lt;&gt;"",(Ustede!$F$5-Ustede!$F$6),"")</f>
        <v>930</v>
      </c>
      <c r="U9" s="4">
        <f>IF(U3&lt;&gt;"",(Ustede!$F$5-Ustede!$F$6),"")</f>
        <v>930</v>
      </c>
      <c r="V9" s="4">
        <f>IF(V3&lt;&gt;"",(Ustede!$F$5-Ustede!$F$6),"")</f>
        <v>930</v>
      </c>
      <c r="W9" s="4">
        <f>IF(W3&lt;&gt;"",(Ustede!$F$5-Ustede!$F$6),"")</f>
        <v>930</v>
      </c>
      <c r="X9" s="4">
        <f>IF(X3&lt;&gt;"",(Ustede!$F$5-Ustede!$F$6),"")</f>
        <v>930</v>
      </c>
      <c r="Y9" s="4">
        <f>IF(Y3&lt;&gt;"",(Ustede!$F$5-Ustede!$F$6),"")</f>
        <v>930</v>
      </c>
    </row>
    <row r="10" spans="1:25" x14ac:dyDescent="0.25">
      <c r="A10" s="57" t="s">
        <v>117</v>
      </c>
      <c r="B10" s="57"/>
      <c r="C10" s="57"/>
      <c r="D10" s="57"/>
      <c r="F10" s="4">
        <f>IF(F3&lt;&gt;"",Ustede!$F$15,"")</f>
        <v>22109.914952787065</v>
      </c>
      <c r="G10" s="4">
        <f>IF(G3&lt;&gt;"",Ustede!$F$15,"")</f>
        <v>22109.914952787065</v>
      </c>
      <c r="H10" s="4">
        <f>IF(H3&lt;&gt;"",Ustede!$F$15,"")</f>
        <v>22109.914952787065</v>
      </c>
      <c r="I10" s="4">
        <f>IF(I3&lt;&gt;"",Ustede!$F$15,"")</f>
        <v>22109.914952787065</v>
      </c>
      <c r="J10" s="4">
        <f>IF(J3&lt;&gt;"",Ustede!$F$15,"")</f>
        <v>22109.914952787065</v>
      </c>
      <c r="K10" s="4">
        <f>IF(K3&lt;&gt;"",Ustede!$F$15,"")</f>
        <v>22109.914952787065</v>
      </c>
      <c r="L10" s="4">
        <f>IF(L3&lt;&gt;"",Ustede!$F$15,"")</f>
        <v>22109.914952787065</v>
      </c>
      <c r="M10" s="4">
        <f>IF(M3&lt;&gt;"",Ustede!$F$15,"")</f>
        <v>22109.914952787065</v>
      </c>
      <c r="N10" s="4">
        <f>IF(N3&lt;&gt;"",Ustede!$F$15,"")</f>
        <v>22109.914952787065</v>
      </c>
      <c r="O10" s="4">
        <f>IF(O3&lt;&gt;"",Ustede!$F$15,"")</f>
        <v>22109.914952787065</v>
      </c>
      <c r="P10" s="4">
        <f>IF(P3&lt;&gt;"",Ustede!$F$15,"")</f>
        <v>22109.914952787065</v>
      </c>
      <c r="Q10" s="4">
        <f>IF(Q3&lt;&gt;"",Ustede!$F$15,"")</f>
        <v>22109.914952787065</v>
      </c>
      <c r="R10" s="4">
        <f>IF(R3&lt;&gt;"",Ustede!$F$15,"")</f>
        <v>22109.914952787065</v>
      </c>
      <c r="S10" s="4">
        <f>IF(S3&lt;&gt;"",Ustede!$F$15,"")</f>
        <v>22109.914952787065</v>
      </c>
      <c r="T10" s="4">
        <f>IF(T3&lt;&gt;"",Ustede!$F$15,"")</f>
        <v>22109.914952787065</v>
      </c>
      <c r="U10" s="4">
        <f>IF(U3&lt;&gt;"",Ustede!$F$15,"")</f>
        <v>22109.914952787065</v>
      </c>
      <c r="V10" s="4">
        <f>IF(V3&lt;&gt;"",Ustede!$F$15,"")</f>
        <v>22109.914952787065</v>
      </c>
      <c r="W10" s="4">
        <f>IF(W3&lt;&gt;"",Ustede!$F$15,"")</f>
        <v>22109.914952787065</v>
      </c>
      <c r="X10" s="4">
        <f>IF(X3&lt;&gt;"",Ustede!$F$15,"")</f>
        <v>22109.914952787065</v>
      </c>
      <c r="Y10" s="4">
        <f>IF(Y3&lt;&gt;"",Ustede!$F$15,"")</f>
        <v>22109.914952787065</v>
      </c>
    </row>
    <row r="11" spans="1:25" ht="18" x14ac:dyDescent="0.35">
      <c r="A11" s="57" t="s">
        <v>138</v>
      </c>
      <c r="B11" s="57"/>
      <c r="C11" s="57"/>
      <c r="D11" s="57"/>
      <c r="F11" s="4">
        <f>IF(F3&lt;&gt;"",F8*UnosPodataka!$M$17*CARBON,"")</f>
        <v>3916.9142538239998</v>
      </c>
      <c r="G11" s="4">
        <f>IF(G3&lt;&gt;"",G8*UnosPodataka!$M$17*CARBON,"")</f>
        <v>3916.9142538239998</v>
      </c>
      <c r="H11" s="4">
        <f>IF(H3&lt;&gt;"",H8*UnosPodataka!$M$17*CARBON,"")</f>
        <v>3916.9142538239998</v>
      </c>
      <c r="I11" s="4">
        <f>IF(I3&lt;&gt;"",I8*UnosPodataka!$M$17*CARBON,"")</f>
        <v>3916.9142538239998</v>
      </c>
      <c r="J11" s="4">
        <f>IF(J3&lt;&gt;"",J8*UnosPodataka!$M$17*CARBON,"")</f>
        <v>3916.9142538239998</v>
      </c>
      <c r="K11" s="4">
        <f>IF(K3&lt;&gt;"",K8*UnosPodataka!$M$17*CARBON,"")</f>
        <v>3916.9142538239998</v>
      </c>
      <c r="L11" s="4">
        <f>IF(L3&lt;&gt;"",L8*UnosPodataka!$M$17*CARBON,"")</f>
        <v>3916.9142538239998</v>
      </c>
      <c r="M11" s="4">
        <f>IF(M3&lt;&gt;"",M8*UnosPodataka!$M$17*CARBON,"")</f>
        <v>3916.9142538239998</v>
      </c>
      <c r="N11" s="4">
        <f>IF(N3&lt;&gt;"",N8*UnosPodataka!$M$17*CARBON,"")</f>
        <v>3916.9142538239998</v>
      </c>
      <c r="O11" s="4">
        <f>IF(O3&lt;&gt;"",O8*UnosPodataka!$M$17*CARBON,"")</f>
        <v>3916.9142538239998</v>
      </c>
      <c r="P11" s="4">
        <f>IF(P3&lt;&gt;"",P8*UnosPodataka!$M$17*CARBON,"")</f>
        <v>3916.9142538239998</v>
      </c>
      <c r="Q11" s="4">
        <f>IF(Q3&lt;&gt;"",Q8*UnosPodataka!$M$17*CARBON,"")</f>
        <v>3916.9142538239998</v>
      </c>
      <c r="R11" s="4">
        <f>IF(R3&lt;&gt;"",R8*UnosPodataka!$M$17*CARBON,"")</f>
        <v>3916.9142538239998</v>
      </c>
      <c r="S11" s="4">
        <f>IF(S3&lt;&gt;"",S8*UnosPodataka!$M$17*CARBON,"")</f>
        <v>3916.9142538239998</v>
      </c>
      <c r="T11" s="4">
        <f>IF(T3&lt;&gt;"",T8*UnosPodataka!$M$17*CARBON,"")</f>
        <v>3916.9142538239998</v>
      </c>
      <c r="U11" s="4">
        <f>IF(U3&lt;&gt;"",U8*UnosPodataka!$M$17*CARBON,"")</f>
        <v>3916.9142538239998</v>
      </c>
      <c r="V11" s="4">
        <f>IF(V3&lt;&gt;"",V8*UnosPodataka!$M$17*CARBON,"")</f>
        <v>3916.9142538239998</v>
      </c>
      <c r="W11" s="4">
        <f>IF(W3&lt;&gt;"",W8*UnosPodataka!$M$17*CARBON,"")</f>
        <v>3916.9142538239998</v>
      </c>
      <c r="X11" s="4">
        <f>IF(X3&lt;&gt;"",X8*UnosPodataka!$M$17*CARBON,"")</f>
        <v>3916.9142538239998</v>
      </c>
      <c r="Y11" s="4">
        <f>IF(Y3&lt;&gt;"",Y8*UnosPodataka!$M$17*CARBON,"")</f>
        <v>3916.9142538239998</v>
      </c>
    </row>
    <row r="12" spans="1:25" x14ac:dyDescent="0.25">
      <c r="A12" s="66" t="s">
        <v>139</v>
      </c>
      <c r="B12" s="66"/>
      <c r="C12" s="66"/>
      <c r="D12" s="66"/>
      <c r="F12" s="4">
        <f>IF(F3&lt;&gt;"",F10+F11,"")</f>
        <v>26026.829206611066</v>
      </c>
      <c r="G12" s="4">
        <f t="shared" ref="G12:Y12" si="0">IF(G3&lt;&gt;"",G10+G11,"")</f>
        <v>26026.829206611066</v>
      </c>
      <c r="H12" s="4">
        <f t="shared" si="0"/>
        <v>26026.829206611066</v>
      </c>
      <c r="I12" s="4">
        <f t="shared" si="0"/>
        <v>26026.829206611066</v>
      </c>
      <c r="J12" s="4">
        <f t="shared" si="0"/>
        <v>26026.829206611066</v>
      </c>
      <c r="K12" s="4">
        <f t="shared" si="0"/>
        <v>26026.829206611066</v>
      </c>
      <c r="L12" s="4">
        <f t="shared" si="0"/>
        <v>26026.829206611066</v>
      </c>
      <c r="M12" s="4">
        <f t="shared" si="0"/>
        <v>26026.829206611066</v>
      </c>
      <c r="N12" s="4">
        <f t="shared" si="0"/>
        <v>26026.829206611066</v>
      </c>
      <c r="O12" s="4">
        <f t="shared" si="0"/>
        <v>26026.829206611066</v>
      </c>
      <c r="P12" s="4">
        <f t="shared" si="0"/>
        <v>26026.829206611066</v>
      </c>
      <c r="Q12" s="4">
        <f t="shared" si="0"/>
        <v>26026.829206611066</v>
      </c>
      <c r="R12" s="4">
        <f t="shared" si="0"/>
        <v>26026.829206611066</v>
      </c>
      <c r="S12" s="4">
        <f t="shared" si="0"/>
        <v>26026.829206611066</v>
      </c>
      <c r="T12" s="4">
        <f t="shared" si="0"/>
        <v>26026.829206611066</v>
      </c>
      <c r="U12" s="4">
        <f t="shared" si="0"/>
        <v>26026.829206611066</v>
      </c>
      <c r="V12" s="4">
        <f t="shared" si="0"/>
        <v>26026.829206611066</v>
      </c>
      <c r="W12" s="4">
        <f t="shared" si="0"/>
        <v>26026.829206611066</v>
      </c>
      <c r="X12" s="4">
        <f t="shared" si="0"/>
        <v>26026.829206611066</v>
      </c>
      <c r="Y12" s="4">
        <f t="shared" si="0"/>
        <v>26026.829206611066</v>
      </c>
    </row>
    <row r="13" spans="1:25" x14ac:dyDescent="0.25">
      <c r="A13" s="58"/>
      <c r="B13" s="58"/>
      <c r="C13" s="58"/>
      <c r="D13" s="58"/>
    </row>
    <row r="14" spans="1:25" x14ac:dyDescent="0.25">
      <c r="A14" s="57" t="s">
        <v>140</v>
      </c>
      <c r="B14" s="57"/>
      <c r="C14" s="57"/>
      <c r="D14" s="57"/>
      <c r="F14" s="4">
        <f>IF(F3&gt;UnosPodataka!$M$15,"",-VLOOKUP(F3,Anuiteti!$B$8:$E$27,3,FALSE))</f>
        <v>-2225</v>
      </c>
      <c r="G14" s="4">
        <f>IF(G3&gt;UnosPodataka!$M$15,"",-VLOOKUP(G3,Anuiteti!$B$8:$E$27,3,FALSE))</f>
        <v>-1970.3101555235826</v>
      </c>
      <c r="H14" s="4">
        <f>IF(H3&gt;UnosPodataka!$M$15,"",-VLOOKUP(H3,Anuiteti!$B$8:$E$27,3,FALSE))</f>
        <v>-1709.2530649352548</v>
      </c>
      <c r="I14" s="4">
        <f>IF(I3&gt;UnosPodataka!$M$15,"",-VLOOKUP(I3,Anuiteti!$B$8:$E$27,3,FALSE))</f>
        <v>-1441.6695470822187</v>
      </c>
      <c r="J14" s="4">
        <f>IF(J3&gt;UnosPodataka!$M$15,"",-VLOOKUP(J3,Anuiteti!$B$8:$E$27,3,FALSE))</f>
        <v>-1167.3964412828566</v>
      </c>
      <c r="K14" s="4">
        <f>IF(K3&gt;UnosPodataka!$M$15,"",-VLOOKUP(K3,Anuiteti!$B$8:$E$27,3,FALSE))</f>
        <v>-886.26650783851062</v>
      </c>
      <c r="L14" s="4">
        <f>IF(L3&gt;UnosPodataka!$M$15,"",-VLOOKUP(L3,Anuiteti!$B$8:$E$27,3,FALSE))</f>
        <v>-598.10832605805592</v>
      </c>
      <c r="M14" s="4">
        <f>IF(M3&gt;UnosPodataka!$M$15,"",-VLOOKUP(M3,Anuiteti!$B$8:$E$27,3,FALSE))</f>
        <v>-302.74618973308992</v>
      </c>
      <c r="N14" s="4" t="str">
        <f>IF(N3&gt;UnosPodataka!$M$15,"",-VLOOKUP(N3,Anuiteti!$B$8:$E$27,3,FALSE))</f>
        <v/>
      </c>
      <c r="O14" s="4" t="str">
        <f>IF(O3&gt;UnosPodataka!$M$15,"",-VLOOKUP(O3,Anuiteti!$B$8:$E$27,3,FALSE))</f>
        <v/>
      </c>
      <c r="P14" s="4" t="str">
        <f>IF(P3&gt;UnosPodataka!$M$15,"",-VLOOKUP(P3,Anuiteti!$B$8:$E$27,3,FALSE))</f>
        <v/>
      </c>
      <c r="Q14" s="4" t="str">
        <f>IF(Q3&gt;UnosPodataka!$M$15,"",-VLOOKUP(Q3,Anuiteti!$B$8:$E$27,3,FALSE))</f>
        <v/>
      </c>
      <c r="R14" s="4" t="str">
        <f>IF(R3&gt;UnosPodataka!$M$15,"",-VLOOKUP(R3,Anuiteti!$B$8:$E$27,3,FALSE))</f>
        <v/>
      </c>
      <c r="S14" s="4" t="str">
        <f>IF(S3&gt;UnosPodataka!$M$15,"",-VLOOKUP(S3,Anuiteti!$B$8:$E$27,3,FALSE))</f>
        <v/>
      </c>
      <c r="T14" s="4" t="str">
        <f>IF(T3&gt;UnosPodataka!$M$15,"",-VLOOKUP(T3,Anuiteti!$B$8:$E$27,3,FALSE))</f>
        <v/>
      </c>
      <c r="U14" s="4" t="str">
        <f>IF(U3&gt;UnosPodataka!$M$15,"",-VLOOKUP(U3,Anuiteti!$B$8:$E$27,3,FALSE))</f>
        <v/>
      </c>
      <c r="V14" s="4" t="str">
        <f>IF(V3&gt;UnosPodataka!$M$15,"",-VLOOKUP(V3,Anuiteti!$B$8:$E$27,3,FALSE))</f>
        <v/>
      </c>
      <c r="W14" s="4" t="str">
        <f>IF(W3&gt;UnosPodataka!$M$15,"",-VLOOKUP(W3,Anuiteti!$B$8:$E$27,3,FALSE))</f>
        <v/>
      </c>
      <c r="X14" s="4" t="str">
        <f>IF(X3&gt;UnosPodataka!$M$15,"",-VLOOKUP(X3,Anuiteti!$B$8:$E$27,3,FALSE))</f>
        <v/>
      </c>
      <c r="Y14" s="4" t="str">
        <f>IF(Y3&gt;UnosPodataka!$M$15,"",-VLOOKUP(Y3,Anuiteti!$B$8:$E$27,3,FALSE))</f>
        <v/>
      </c>
    </row>
    <row r="15" spans="1:25" x14ac:dyDescent="0.25">
      <c r="A15" s="57" t="s">
        <v>120</v>
      </c>
      <c r="B15" s="57"/>
      <c r="C15" s="57"/>
      <c r="D15" s="57"/>
      <c r="F15" s="4">
        <f>IF(F3&lt;&gt;"",-UnosPodataka!$M$4,"")</f>
        <v>0</v>
      </c>
      <c r="G15" s="4">
        <f>IF(G3&lt;&gt;"",-UnosPodataka!$M$4,"")</f>
        <v>0</v>
      </c>
      <c r="H15" s="4">
        <f>IF(H3&lt;&gt;"",-UnosPodataka!$M$4,"")</f>
        <v>0</v>
      </c>
      <c r="I15" s="4">
        <f>IF(I3&lt;&gt;"",-UnosPodataka!$M$4,"")</f>
        <v>0</v>
      </c>
      <c r="J15" s="4">
        <f>IF(J3&lt;&gt;"",-UnosPodataka!$M$4,"")</f>
        <v>0</v>
      </c>
      <c r="K15" s="4">
        <f>IF(K3&lt;&gt;"",-UnosPodataka!$M$4,"")</f>
        <v>0</v>
      </c>
      <c r="L15" s="4">
        <f>IF(L3&lt;&gt;"",-UnosPodataka!$M$4,"")</f>
        <v>0</v>
      </c>
      <c r="M15" s="4">
        <f>IF(M3&lt;&gt;"",-UnosPodataka!$M$4,"")</f>
        <v>0</v>
      </c>
      <c r="N15" s="4">
        <f>IF(N3&lt;&gt;"",-UnosPodataka!$M$4,"")</f>
        <v>0</v>
      </c>
      <c r="O15" s="4">
        <f>IF(O3&lt;&gt;"",-UnosPodataka!$M$4,"")</f>
        <v>0</v>
      </c>
      <c r="P15" s="4">
        <f>IF(P3&lt;&gt;"",-UnosPodataka!$M$4,"")</f>
        <v>0</v>
      </c>
      <c r="Q15" s="4">
        <f>IF(Q3&lt;&gt;"",-UnosPodataka!$M$4,"")</f>
        <v>0</v>
      </c>
      <c r="R15" s="4">
        <f>IF(R3&lt;&gt;"",-UnosPodataka!$M$4,"")</f>
        <v>0</v>
      </c>
      <c r="S15" s="4">
        <f>IF(S3&lt;&gt;"",-UnosPodataka!$M$4,"")</f>
        <v>0</v>
      </c>
      <c r="T15" s="4">
        <f>IF(T3&lt;&gt;"",-UnosPodataka!$M$4,"")</f>
        <v>0</v>
      </c>
      <c r="U15" s="4">
        <f>IF(U3&lt;&gt;"",-UnosPodataka!$M$4,"")</f>
        <v>0</v>
      </c>
      <c r="V15" s="4">
        <f>IF(V3&lt;&gt;"",-UnosPodataka!$M$4,"")</f>
        <v>0</v>
      </c>
      <c r="W15" s="4">
        <f>IF(W3&lt;&gt;"",-UnosPodataka!$M$4,"")</f>
        <v>0</v>
      </c>
      <c r="X15" s="4">
        <f>IF(X3&lt;&gt;"",-UnosPodataka!$M$4,"")</f>
        <v>0</v>
      </c>
      <c r="Y15" s="4">
        <f>IF(Y3&lt;&gt;"",-UnosPodataka!$M$4,"")</f>
        <v>0</v>
      </c>
    </row>
    <row r="16" spans="1:25" x14ac:dyDescent="0.25">
      <c r="A16" s="57" t="s">
        <v>121</v>
      </c>
      <c r="B16" s="57"/>
      <c r="C16" s="57"/>
      <c r="D16" s="57"/>
      <c r="F16" s="4">
        <f>IF(F3&lt;&gt;"",-Investment*UnosPodataka!$M$6,"")</f>
        <v>-4320</v>
      </c>
      <c r="G16" s="4">
        <f>IF(G3&lt;&gt;"",-Investment*UnosPodataka!$M$6,"")</f>
        <v>-4320</v>
      </c>
      <c r="H16" s="4">
        <f>IF(H3&lt;&gt;"",-Investment*UnosPodataka!$M$6,"")</f>
        <v>-4320</v>
      </c>
      <c r="I16" s="4">
        <f>IF(I3&lt;&gt;"",-Investment*UnosPodataka!$M$6,"")</f>
        <v>-4320</v>
      </c>
      <c r="J16" s="4">
        <f>IF(J3&lt;&gt;"",-Investment*UnosPodataka!$M$6,"")</f>
        <v>-4320</v>
      </c>
      <c r="K16" s="4">
        <f>IF(K3&lt;&gt;"",-Investment*UnosPodataka!$M$6,"")</f>
        <v>-4320</v>
      </c>
      <c r="L16" s="4">
        <f>IF(L3&lt;&gt;"",-Investment*UnosPodataka!$M$6,"")</f>
        <v>-4320</v>
      </c>
      <c r="M16" s="4">
        <f>IF(M3&lt;&gt;"",-Investment*UnosPodataka!$M$6,"")</f>
        <v>-4320</v>
      </c>
      <c r="N16" s="4">
        <f>IF(N3&lt;&gt;"",-Investment*UnosPodataka!$M$6,"")</f>
        <v>-4320</v>
      </c>
      <c r="O16" s="4">
        <f>IF(O3&lt;&gt;"",-Investment*UnosPodataka!$M$6,"")</f>
        <v>-4320</v>
      </c>
      <c r="P16" s="4">
        <f>IF(P3&lt;&gt;"",-Investment*UnosPodataka!$M$6,"")</f>
        <v>-4320</v>
      </c>
      <c r="Q16" s="4">
        <f>IF(Q3&lt;&gt;"",-Investment*UnosPodataka!$M$6,"")</f>
        <v>-4320</v>
      </c>
      <c r="R16" s="4">
        <f>IF(R3&lt;&gt;"",-Investment*UnosPodataka!$M$6,"")</f>
        <v>-4320</v>
      </c>
      <c r="S16" s="4">
        <f>IF(S3&lt;&gt;"",-Investment*UnosPodataka!$M$6,"")</f>
        <v>-4320</v>
      </c>
      <c r="T16" s="4">
        <f>IF(T3&lt;&gt;"",-Investment*UnosPodataka!$M$6,"")</f>
        <v>-4320</v>
      </c>
      <c r="U16" s="4">
        <f>IF(U3&lt;&gt;"",-Investment*UnosPodataka!$M$6,"")</f>
        <v>-4320</v>
      </c>
      <c r="V16" s="4">
        <f>IF(V3&lt;&gt;"",-Investment*UnosPodataka!$M$6,"")</f>
        <v>-4320</v>
      </c>
      <c r="W16" s="4">
        <f>IF(W3&lt;&gt;"",-Investment*UnosPodataka!$M$6,"")</f>
        <v>-4320</v>
      </c>
      <c r="X16" s="4">
        <f>IF(X3&lt;&gt;"",-Investment*UnosPodataka!$M$6,"")</f>
        <v>-4320</v>
      </c>
      <c r="Y16" s="4">
        <f>IF(Y3&lt;&gt;"",-Investment*UnosPodataka!$M$6,"")</f>
        <v>-4320</v>
      </c>
    </row>
    <row r="17" spans="1:26" x14ac:dyDescent="0.25">
      <c r="A17" s="57" t="s">
        <v>162</v>
      </c>
      <c r="B17" s="57"/>
      <c r="C17" s="57"/>
      <c r="D17" s="57"/>
      <c r="F17" s="4">
        <f>IF(F3&lt;&gt;"",-(1-UnosPodataka!$M$5)*EconIndicators!F10,"")</f>
        <v>0</v>
      </c>
      <c r="G17" s="4">
        <f>IF(G3&lt;&gt;"",-(1-UnosPodataka!$M$5)*EconIndicators!G10,"")</f>
        <v>0</v>
      </c>
      <c r="H17" s="4">
        <f>IF(H3&lt;&gt;"",-(1-UnosPodataka!$M$5)*EconIndicators!H10,"")</f>
        <v>0</v>
      </c>
      <c r="I17" s="4">
        <f>IF(I3&lt;&gt;"",-(1-UnosPodataka!$M$5)*EconIndicators!I10,"")</f>
        <v>0</v>
      </c>
      <c r="J17" s="4">
        <f>IF(J3&lt;&gt;"",-(1-UnosPodataka!$M$5)*EconIndicators!J10,"")</f>
        <v>0</v>
      </c>
      <c r="K17" s="4">
        <f>IF(K3&lt;&gt;"",-(1-UnosPodataka!$M$5)*EconIndicators!K10,"")</f>
        <v>0</v>
      </c>
      <c r="L17" s="4">
        <f>IF(L3&lt;&gt;"",-(1-UnosPodataka!$M$5)*EconIndicators!L10,"")</f>
        <v>0</v>
      </c>
      <c r="M17" s="4">
        <f>IF(M3&lt;&gt;"",-(1-UnosPodataka!$M$5)*EconIndicators!M10,"")</f>
        <v>0</v>
      </c>
      <c r="N17" s="4">
        <f>IF(N3&lt;&gt;"",-(1-UnosPodataka!$M$5)*EconIndicators!N10,"")</f>
        <v>0</v>
      </c>
      <c r="O17" s="4">
        <f>IF(O3&lt;&gt;"",-(1-UnosPodataka!$M$5)*EconIndicators!O10,"")</f>
        <v>0</v>
      </c>
      <c r="P17" s="4">
        <f>IF(P3&lt;&gt;"",-(1-UnosPodataka!$M$5)*EconIndicators!P10,"")</f>
        <v>0</v>
      </c>
      <c r="Q17" s="4">
        <f>IF(Q3&lt;&gt;"",-(1-UnosPodataka!$M$5)*EconIndicators!Q10,"")</f>
        <v>0</v>
      </c>
      <c r="R17" s="4">
        <f>IF(R3&lt;&gt;"",-(1-UnosPodataka!$M$5)*EconIndicators!R10,"")</f>
        <v>0</v>
      </c>
      <c r="S17" s="4">
        <f>IF(S3&lt;&gt;"",-(1-UnosPodataka!$M$5)*EconIndicators!S10,"")</f>
        <v>0</v>
      </c>
      <c r="T17" s="4">
        <f>IF(T3&lt;&gt;"",-(1-UnosPodataka!$M$5)*EconIndicators!T10,"")</f>
        <v>0</v>
      </c>
      <c r="U17" s="4">
        <f>IF(U3&lt;&gt;"",-(1-UnosPodataka!$M$5)*EconIndicators!U10,"")</f>
        <v>0</v>
      </c>
      <c r="V17" s="4">
        <f>IF(V3&lt;&gt;"",-(1-UnosPodataka!$M$5)*EconIndicators!V10,"")</f>
        <v>0</v>
      </c>
      <c r="W17" s="4">
        <f>IF(W3&lt;&gt;"",-(1-UnosPodataka!$M$5)*EconIndicators!W10,"")</f>
        <v>0</v>
      </c>
      <c r="X17" s="4">
        <f>IF(X3&lt;&gt;"",-(1-UnosPodataka!$M$5)*EconIndicators!X10,"")</f>
        <v>0</v>
      </c>
      <c r="Y17" s="4">
        <f>IF(Y3&lt;&gt;"",-(1-UnosPodataka!$M$5)*EconIndicators!Y10,"")</f>
        <v>0</v>
      </c>
    </row>
    <row r="18" spans="1:26" x14ac:dyDescent="0.25">
      <c r="A18" s="66" t="s">
        <v>141</v>
      </c>
      <c r="B18" s="66"/>
      <c r="C18" s="66"/>
      <c r="D18" s="66"/>
      <c r="F18" s="4">
        <f>IF(F3&lt;&gt;"",SUM(F14:F17),"")</f>
        <v>-6545</v>
      </c>
      <c r="G18" s="4">
        <f t="shared" ref="G18:Y18" si="1">IF(G3&lt;&gt;"",SUM(G14:G17),"")</f>
        <v>-6290.3101555235826</v>
      </c>
      <c r="H18" s="4">
        <f t="shared" si="1"/>
        <v>-6029.2530649352548</v>
      </c>
      <c r="I18" s="4">
        <f t="shared" si="1"/>
        <v>-5761.6695470822187</v>
      </c>
      <c r="J18" s="4">
        <f t="shared" si="1"/>
        <v>-5487.3964412828564</v>
      </c>
      <c r="K18" s="4">
        <f t="shared" si="1"/>
        <v>-5206.2665078385107</v>
      </c>
      <c r="L18" s="4">
        <f t="shared" si="1"/>
        <v>-4918.1083260580563</v>
      </c>
      <c r="M18" s="4">
        <f t="shared" si="1"/>
        <v>-4622.7461897330895</v>
      </c>
      <c r="N18" s="4">
        <f t="shared" si="1"/>
        <v>-4320</v>
      </c>
      <c r="O18" s="4">
        <f t="shared" si="1"/>
        <v>-4320</v>
      </c>
      <c r="P18" s="4">
        <f t="shared" si="1"/>
        <v>-4320</v>
      </c>
      <c r="Q18" s="4">
        <f t="shared" si="1"/>
        <v>-4320</v>
      </c>
      <c r="R18" s="4">
        <f t="shared" si="1"/>
        <v>-4320</v>
      </c>
      <c r="S18" s="4">
        <f t="shared" si="1"/>
        <v>-4320</v>
      </c>
      <c r="T18" s="4">
        <f t="shared" si="1"/>
        <v>-4320</v>
      </c>
      <c r="U18" s="4">
        <f t="shared" si="1"/>
        <v>-4320</v>
      </c>
      <c r="V18" s="4">
        <f t="shared" si="1"/>
        <v>-4320</v>
      </c>
      <c r="W18" s="4">
        <f t="shared" si="1"/>
        <v>-4320</v>
      </c>
      <c r="X18" s="4">
        <f t="shared" si="1"/>
        <v>-4320</v>
      </c>
      <c r="Y18" s="4">
        <f t="shared" si="1"/>
        <v>-4320</v>
      </c>
    </row>
    <row r="20" spans="1:26" x14ac:dyDescent="0.25">
      <c r="A20" s="54" t="s">
        <v>29</v>
      </c>
      <c r="B20" s="54"/>
      <c r="C20" s="54"/>
      <c r="D20" s="54"/>
      <c r="F20" s="4">
        <f t="shared" ref="F20:Y20" si="2">IF(F3&lt;&gt;"",F12+F18,"")</f>
        <v>19481.829206611066</v>
      </c>
      <c r="G20" s="4">
        <f t="shared" si="2"/>
        <v>19736.519051087482</v>
      </c>
      <c r="H20" s="4">
        <f t="shared" si="2"/>
        <v>19997.576141675811</v>
      </c>
      <c r="I20" s="4">
        <f t="shared" si="2"/>
        <v>20265.159659528847</v>
      </c>
      <c r="J20" s="4">
        <f t="shared" si="2"/>
        <v>20539.432765328209</v>
      </c>
      <c r="K20" s="4">
        <f t="shared" si="2"/>
        <v>20820.562698772555</v>
      </c>
      <c r="L20" s="4">
        <f t="shared" si="2"/>
        <v>21108.72088055301</v>
      </c>
      <c r="M20" s="4">
        <f t="shared" si="2"/>
        <v>21404.083016877976</v>
      </c>
      <c r="N20" s="4">
        <f t="shared" si="2"/>
        <v>21706.829206611066</v>
      </c>
      <c r="O20" s="4">
        <f t="shared" si="2"/>
        <v>21706.829206611066</v>
      </c>
      <c r="P20" s="4">
        <f t="shared" si="2"/>
        <v>21706.829206611066</v>
      </c>
      <c r="Q20" s="4">
        <f t="shared" si="2"/>
        <v>21706.829206611066</v>
      </c>
      <c r="R20" s="4">
        <f t="shared" si="2"/>
        <v>21706.829206611066</v>
      </c>
      <c r="S20" s="4">
        <f t="shared" si="2"/>
        <v>21706.829206611066</v>
      </c>
      <c r="T20" s="4">
        <f t="shared" si="2"/>
        <v>21706.829206611066</v>
      </c>
      <c r="U20" s="4">
        <f t="shared" si="2"/>
        <v>21706.829206611066</v>
      </c>
      <c r="V20" s="4">
        <f t="shared" si="2"/>
        <v>21706.829206611066</v>
      </c>
      <c r="W20" s="4">
        <f t="shared" si="2"/>
        <v>21706.829206611066</v>
      </c>
      <c r="X20" s="4">
        <f t="shared" si="2"/>
        <v>21706.829206611066</v>
      </c>
      <c r="Y20" s="4">
        <f t="shared" si="2"/>
        <v>21706.829206611066</v>
      </c>
    </row>
    <row r="21" spans="1:26" x14ac:dyDescent="0.25">
      <c r="A21" s="58"/>
      <c r="B21" s="58"/>
      <c r="C21" s="58"/>
      <c r="D21" s="58"/>
    </row>
    <row r="22" spans="1:26" x14ac:dyDescent="0.25">
      <c r="A22" s="57" t="s">
        <v>123</v>
      </c>
      <c r="B22" s="57"/>
      <c r="C22" s="57"/>
      <c r="D22" s="57"/>
      <c r="F22" s="4">
        <f>IF(F3&lt;&gt;"",-Investment*UnosPodataka!$M$7/((1+UnosPodataka!$M$13)^EconIndicators!F3),"")</f>
        <v>-6923.0769230769229</v>
      </c>
      <c r="G22" s="4">
        <f>IF(G3&lt;&gt;"",-Investment*UnosPodataka!$M$7/((1+UnosPodataka!$M$13)^EconIndicators!G3),"")</f>
        <v>-6656.8047337278103</v>
      </c>
      <c r="H22" s="4">
        <f>IF(H3&lt;&gt;"",-Investment*UnosPodataka!$M$7/((1+UnosPodataka!$M$13)^EconIndicators!H3),"")</f>
        <v>-6400.7737824305868</v>
      </c>
      <c r="I22" s="4">
        <f>IF(I3&lt;&gt;"",-Investment*UnosPodataka!$M$7/((1+UnosPodataka!$M$13)^EconIndicators!I3),"")</f>
        <v>-6154.590175414025</v>
      </c>
      <c r="J22" s="4">
        <f>IF(J3&lt;&gt;"",-Investment*UnosPodataka!$M$7/((1+UnosPodataka!$M$13)^EconIndicators!J3),"")</f>
        <v>-5917.8751686673313</v>
      </c>
      <c r="K22" s="4">
        <f>IF(K3&lt;&gt;"",-Investment*UnosPodataka!$M$7/((1+UnosPodataka!$M$13)^EconIndicators!K3),"")</f>
        <v>-5690.2645852570495</v>
      </c>
      <c r="L22" s="4">
        <f>IF(L3&lt;&gt;"",-Investment*UnosPodataka!$M$7/((1+UnosPodataka!$M$13)^EconIndicators!L3),"")</f>
        <v>-5471.4082550548555</v>
      </c>
      <c r="M22" s="4">
        <f>IF(M3&lt;&gt;"",-Investment*UnosPodataka!$M$7/((1+UnosPodataka!$M$13)^EconIndicators!M3),"")</f>
        <v>-5260.9694760142829</v>
      </c>
      <c r="N22" s="4">
        <f>IF(N3&lt;&gt;"",-Investment*UnosPodataka!$M$7/((1+UnosPodataka!$M$13)^EconIndicators!N3),"")</f>
        <v>-5058.6244961675793</v>
      </c>
      <c r="O22" s="4">
        <f>IF(O3&lt;&gt;"",-Investment*UnosPodataka!$M$7/((1+UnosPodataka!$M$13)^EconIndicators!O3),"")</f>
        <v>-4864.06201554575</v>
      </c>
      <c r="P22" s="4">
        <f>IF(P3&lt;&gt;"",-Investment*UnosPodataka!$M$7/((1+UnosPodataka!$M$13)^EconIndicators!P3),"")</f>
        <v>-4676.982707255529</v>
      </c>
      <c r="Q22" s="4">
        <f>IF(Q3&lt;&gt;"",-Investment*UnosPodataka!$M$7/((1+UnosPodataka!$M$13)^EconIndicators!Q3),"")</f>
        <v>-4497.0987569764693</v>
      </c>
      <c r="R22" s="4">
        <f>IF(R3&lt;&gt;"",-Investment*UnosPodataka!$M$7/((1+UnosPodataka!$M$13)^EconIndicators!R3),"")</f>
        <v>-4324.1334201696818</v>
      </c>
      <c r="S22" s="4">
        <f>IF(S3&lt;&gt;"",-Investment*UnosPodataka!$M$7/((1+UnosPodataka!$M$13)^EconIndicators!S3),"")</f>
        <v>-4157.8205963170012</v>
      </c>
      <c r="T22" s="4">
        <f>IF(T3&lt;&gt;"",-Investment*UnosPodataka!$M$7/((1+UnosPodataka!$M$13)^EconIndicators!T3),"")</f>
        <v>-3997.9044195355787</v>
      </c>
      <c r="U22" s="4">
        <f>IF(U3&lt;&gt;"",-Investment*UnosPodataka!$M$7/((1+UnosPodataka!$M$13)^EconIndicators!U3),"")</f>
        <v>-3844.1388649380556</v>
      </c>
      <c r="V22" s="4">
        <f>IF(V3&lt;&gt;"",-Investment*UnosPodataka!$M$7/((1+UnosPodataka!$M$13)^EconIndicators!V3),"")</f>
        <v>-3696.2873701327458</v>
      </c>
      <c r="W22" s="4">
        <f>IF(W3&lt;&gt;"",-Investment*UnosPodataka!$M$7/((1+UnosPodataka!$M$13)^EconIndicators!W3),"")</f>
        <v>-3554.122471281486</v>
      </c>
      <c r="X22" s="4">
        <f>IF(X3&lt;&gt;"",-Investment*UnosPodataka!$M$7/((1+UnosPodataka!$M$13)^EconIndicators!X3),"")</f>
        <v>-3417.4254531552751</v>
      </c>
      <c r="Y22" s="4">
        <f>IF(Y3&lt;&gt;"",-Investment*UnosPodataka!$M$7/((1+UnosPodataka!$M$13)^EconIndicators!Y3),"")</f>
        <v>-3285.9860126493027</v>
      </c>
    </row>
    <row r="23" spans="1:26" x14ac:dyDescent="0.25">
      <c r="A23" s="54" t="s">
        <v>28</v>
      </c>
      <c r="B23" s="54"/>
      <c r="C23" s="54"/>
      <c r="D23" s="54"/>
      <c r="F23" s="4">
        <f t="shared" ref="F23:Y23" si="3">IF(F3&lt;&gt;"",F20+F22,"")</f>
        <v>12558.752283534144</v>
      </c>
      <c r="G23" s="4">
        <f t="shared" si="3"/>
        <v>13079.714317359671</v>
      </c>
      <c r="H23" s="4">
        <f t="shared" si="3"/>
        <v>13596.802359245223</v>
      </c>
      <c r="I23" s="4">
        <f t="shared" si="3"/>
        <v>14110.569484114822</v>
      </c>
      <c r="J23" s="4">
        <f t="shared" si="3"/>
        <v>14621.557596660878</v>
      </c>
      <c r="K23" s="4">
        <f t="shared" si="3"/>
        <v>15130.298113515506</v>
      </c>
      <c r="L23" s="4">
        <f t="shared" si="3"/>
        <v>15637.312625498154</v>
      </c>
      <c r="M23" s="4">
        <f t="shared" si="3"/>
        <v>16143.113540863693</v>
      </c>
      <c r="N23" s="4">
        <f t="shared" si="3"/>
        <v>16648.204710443486</v>
      </c>
      <c r="O23" s="4">
        <f t="shared" si="3"/>
        <v>16842.767191065315</v>
      </c>
      <c r="P23" s="4">
        <f t="shared" si="3"/>
        <v>17029.846499355539</v>
      </c>
      <c r="Q23" s="4">
        <f t="shared" si="3"/>
        <v>17209.730449634597</v>
      </c>
      <c r="R23" s="4">
        <f t="shared" si="3"/>
        <v>17382.695786441385</v>
      </c>
      <c r="S23" s="4">
        <f t="shared" si="3"/>
        <v>17549.008610294066</v>
      </c>
      <c r="T23" s="4">
        <f t="shared" si="3"/>
        <v>17708.924787075488</v>
      </c>
      <c r="U23" s="4">
        <f t="shared" si="3"/>
        <v>17862.690341673009</v>
      </c>
      <c r="V23" s="4">
        <f t="shared" si="3"/>
        <v>18010.541836478322</v>
      </c>
      <c r="W23" s="4">
        <f t="shared" si="3"/>
        <v>18152.706735329579</v>
      </c>
      <c r="X23" s="4">
        <f t="shared" si="3"/>
        <v>18289.40375345579</v>
      </c>
      <c r="Y23" s="4">
        <f t="shared" si="3"/>
        <v>18420.843193961762</v>
      </c>
    </row>
    <row r="24" spans="1:26" x14ac:dyDescent="0.25">
      <c r="A24" s="67"/>
      <c r="B24" s="67"/>
      <c r="C24" s="67"/>
      <c r="D24" s="67"/>
    </row>
    <row r="25" spans="1:26" x14ac:dyDescent="0.25">
      <c r="A25" s="57" t="s">
        <v>124</v>
      </c>
      <c r="B25" s="57"/>
      <c r="C25" s="57"/>
      <c r="D25" s="57"/>
      <c r="F25" s="4">
        <f t="shared" ref="F25:Y25" si="4">IF(F3&lt;&gt;"",IF(F23&gt;0,F23*VAT,0),"")</f>
        <v>1883.8128425301215</v>
      </c>
      <c r="G25" s="4">
        <f t="shared" si="4"/>
        <v>1961.9571476039505</v>
      </c>
      <c r="H25" s="4">
        <f t="shared" si="4"/>
        <v>2039.5203538867834</v>
      </c>
      <c r="I25" s="4">
        <f t="shared" si="4"/>
        <v>2116.5854226172232</v>
      </c>
      <c r="J25" s="4">
        <f t="shared" si="4"/>
        <v>2193.2336394991316</v>
      </c>
      <c r="K25" s="4">
        <f t="shared" si="4"/>
        <v>2269.544717027326</v>
      </c>
      <c r="L25" s="4">
        <f t="shared" si="4"/>
        <v>2345.5968938247229</v>
      </c>
      <c r="M25" s="4">
        <f t="shared" si="4"/>
        <v>2421.467031129554</v>
      </c>
      <c r="N25" s="4">
        <f t="shared" si="4"/>
        <v>2497.2307065665227</v>
      </c>
      <c r="O25" s="4">
        <f t="shared" si="4"/>
        <v>2526.415078659797</v>
      </c>
      <c r="P25" s="4">
        <f t="shared" si="4"/>
        <v>2554.4769749033308</v>
      </c>
      <c r="Q25" s="4">
        <f t="shared" si="4"/>
        <v>2581.4595674451894</v>
      </c>
      <c r="R25" s="4">
        <f t="shared" si="4"/>
        <v>2607.4043679662077</v>
      </c>
      <c r="S25" s="4">
        <f t="shared" si="4"/>
        <v>2632.3512915441097</v>
      </c>
      <c r="T25" s="4">
        <f t="shared" si="4"/>
        <v>2656.3387180613231</v>
      </c>
      <c r="U25" s="4">
        <f t="shared" si="4"/>
        <v>2679.4035512509513</v>
      </c>
      <c r="V25" s="4">
        <f t="shared" si="4"/>
        <v>2701.5812754717481</v>
      </c>
      <c r="W25" s="4">
        <f t="shared" si="4"/>
        <v>2722.9060102994367</v>
      </c>
      <c r="X25" s="4">
        <f t="shared" si="4"/>
        <v>2743.4105630183685</v>
      </c>
      <c r="Y25" s="4">
        <f t="shared" si="4"/>
        <v>2763.1264790942641</v>
      </c>
    </row>
    <row r="26" spans="1:26" x14ac:dyDescent="0.25">
      <c r="A26" s="54" t="s">
        <v>125</v>
      </c>
      <c r="B26" s="54"/>
      <c r="C26" s="54"/>
      <c r="D26" s="54"/>
      <c r="E26" s="4">
        <f>IF(E6=E5,-E5,-E6)</f>
        <v>-25000</v>
      </c>
      <c r="F26" s="4">
        <f t="shared" ref="F26:Y26" si="5">IF(F3&lt;&gt;"",F23-F25,"")</f>
        <v>10674.939441004022</v>
      </c>
      <c r="G26" s="4">
        <f t="shared" si="5"/>
        <v>11117.75716975572</v>
      </c>
      <c r="H26" s="4">
        <f t="shared" si="5"/>
        <v>11557.28200535844</v>
      </c>
      <c r="I26" s="4">
        <f t="shared" si="5"/>
        <v>11993.984061497598</v>
      </c>
      <c r="J26" s="4">
        <f t="shared" si="5"/>
        <v>12428.323957161745</v>
      </c>
      <c r="K26" s="4">
        <f t="shared" si="5"/>
        <v>12860.75339648818</v>
      </c>
      <c r="L26" s="4">
        <f t="shared" si="5"/>
        <v>13291.715731673432</v>
      </c>
      <c r="M26" s="4">
        <f t="shared" si="5"/>
        <v>13721.646509734139</v>
      </c>
      <c r="N26" s="4">
        <f t="shared" si="5"/>
        <v>14150.974003876963</v>
      </c>
      <c r="O26" s="4">
        <f t="shared" si="5"/>
        <v>14316.352112405519</v>
      </c>
      <c r="P26" s="4">
        <f t="shared" si="5"/>
        <v>14475.369524452208</v>
      </c>
      <c r="Q26" s="4">
        <f t="shared" si="5"/>
        <v>14628.270882189408</v>
      </c>
      <c r="R26" s="4">
        <f t="shared" si="5"/>
        <v>14775.291418475177</v>
      </c>
      <c r="S26" s="4">
        <f t="shared" si="5"/>
        <v>14916.657318749956</v>
      </c>
      <c r="T26" s="4">
        <f t="shared" si="5"/>
        <v>15052.586069014165</v>
      </c>
      <c r="U26" s="4">
        <f t="shared" si="5"/>
        <v>15183.286790422058</v>
      </c>
      <c r="V26" s="4">
        <f t="shared" si="5"/>
        <v>15308.960561006574</v>
      </c>
      <c r="W26" s="4">
        <f t="shared" si="5"/>
        <v>15429.800725030142</v>
      </c>
      <c r="X26" s="4">
        <f t="shared" si="5"/>
        <v>15545.993190437421</v>
      </c>
      <c r="Y26" s="4">
        <f t="shared" si="5"/>
        <v>15657.716714867498</v>
      </c>
    </row>
    <row r="27" spans="1:26" hidden="1" x14ac:dyDescent="0.25"/>
    <row r="28" spans="1:26" hidden="1" x14ac:dyDescent="0.25">
      <c r="A28" s="57" t="s">
        <v>126</v>
      </c>
      <c r="B28" s="57"/>
      <c r="C28" s="57"/>
      <c r="D28" s="57"/>
      <c r="F28" s="4">
        <f t="shared" ref="F28:Y28" si="6">IF(F3&lt;&gt;"",F18,"")</f>
        <v>-6545</v>
      </c>
      <c r="G28" s="4">
        <f t="shared" si="6"/>
        <v>-6290.3101555235826</v>
      </c>
      <c r="H28" s="4">
        <f t="shared" si="6"/>
        <v>-6029.2530649352548</v>
      </c>
      <c r="I28" s="4">
        <f t="shared" si="6"/>
        <v>-5761.6695470822187</v>
      </c>
      <c r="J28" s="4">
        <f t="shared" si="6"/>
        <v>-5487.3964412828564</v>
      </c>
      <c r="K28" s="4">
        <f t="shared" si="6"/>
        <v>-5206.2665078385107</v>
      </c>
      <c r="L28" s="4">
        <f t="shared" si="6"/>
        <v>-4918.1083260580563</v>
      </c>
      <c r="M28" s="4">
        <f t="shared" si="6"/>
        <v>-4622.7461897330895</v>
      </c>
      <c r="N28" s="4">
        <f t="shared" si="6"/>
        <v>-4320</v>
      </c>
      <c r="O28" s="4">
        <f t="shared" si="6"/>
        <v>-4320</v>
      </c>
      <c r="P28" s="4">
        <f t="shared" si="6"/>
        <v>-4320</v>
      </c>
      <c r="Q28" s="4">
        <f t="shared" si="6"/>
        <v>-4320</v>
      </c>
      <c r="R28" s="4">
        <f t="shared" si="6"/>
        <v>-4320</v>
      </c>
      <c r="S28" s="4">
        <f t="shared" si="6"/>
        <v>-4320</v>
      </c>
      <c r="T28" s="4">
        <f t="shared" si="6"/>
        <v>-4320</v>
      </c>
      <c r="U28" s="4">
        <f t="shared" si="6"/>
        <v>-4320</v>
      </c>
      <c r="V28" s="4">
        <f t="shared" si="6"/>
        <v>-4320</v>
      </c>
      <c r="W28" s="4">
        <f t="shared" si="6"/>
        <v>-4320</v>
      </c>
      <c r="X28" s="4">
        <f t="shared" si="6"/>
        <v>-4320</v>
      </c>
      <c r="Y28" s="4">
        <f t="shared" si="6"/>
        <v>-4320</v>
      </c>
      <c r="Z28" s="4"/>
    </row>
    <row r="29" spans="1:26" hidden="1" x14ac:dyDescent="0.25">
      <c r="A29" s="57" t="s">
        <v>142</v>
      </c>
      <c r="B29" s="57"/>
      <c r="C29" s="57"/>
      <c r="D29" s="57"/>
      <c r="F29" s="4">
        <f>IF(F3&lt;&gt;"",F28*(1+UnosPodataka!M13)^-EconIndicators!F3,"")</f>
        <v>-6293.2692307692305</v>
      </c>
      <c r="G29" s="4">
        <f>IF(G3&lt;&gt;"",G28*(1+UnosPodataka!N13)^-EconIndicators!G3,"")</f>
        <v>-6290.3101555235826</v>
      </c>
      <c r="H29" s="4">
        <f>IF(H3&lt;&gt;"",H28*(1+UnosPodataka!O13)^-EconIndicators!H3,"")</f>
        <v>-6029.2530649352548</v>
      </c>
      <c r="I29" s="4">
        <f>IF(I3&lt;&gt;"",I28*(1+UnosPodataka!P13)^-EconIndicators!I3,"")</f>
        <v>-5761.6695470822187</v>
      </c>
      <c r="J29" s="4">
        <f>IF(J3&lt;&gt;"",J28*(1+UnosPodataka!Q13)^-EconIndicators!J3,"")</f>
        <v>-5487.3964412828564</v>
      </c>
      <c r="K29" s="4">
        <f>IF(K3&lt;&gt;"",K28*(1+UnosPodataka!R13)^-EconIndicators!K3,"")</f>
        <v>-5206.2665078385107</v>
      </c>
      <c r="L29" s="4">
        <f>IF(L3&lt;&gt;"",L28*(1+UnosPodataka!S13)^-EconIndicators!L3,"")</f>
        <v>-4918.1083260580563</v>
      </c>
      <c r="M29" s="4">
        <f>IF(M3&lt;&gt;"",M28*(1+UnosPodataka!T13)^-EconIndicators!M3,"")</f>
        <v>-4622.7461897330895</v>
      </c>
      <c r="N29" s="4">
        <f>IF(N3&lt;&gt;"",N28*(1+UnosPodataka!U13)^-EconIndicators!N3,"")</f>
        <v>-4320</v>
      </c>
      <c r="O29" s="4">
        <f>IF(O3&lt;&gt;"",O28*(1+UnosPodataka!V13)^-EconIndicators!O3,"")</f>
        <v>-4320</v>
      </c>
      <c r="P29" s="4">
        <f>IF(P3&lt;&gt;"",P28*(1+UnosPodataka!W13)^-EconIndicators!P3,"")</f>
        <v>-4320</v>
      </c>
      <c r="Q29" s="4">
        <f>IF(Q3&lt;&gt;"",Q28*(1+UnosPodataka!X13)^-EconIndicators!Q3,"")</f>
        <v>-4320</v>
      </c>
      <c r="R29" s="4">
        <f>IF(R3&lt;&gt;"",R28*(1+UnosPodataka!Y13)^-EconIndicators!R3,"")</f>
        <v>-4320</v>
      </c>
      <c r="S29" s="4">
        <f>IF(S3&lt;&gt;"",S28*(1+UnosPodataka!Z13)^-EconIndicators!S3,"")</f>
        <v>-4320</v>
      </c>
      <c r="T29" s="4">
        <f>IF(T3&lt;&gt;"",T28*(1+UnosPodataka!AA13)^-EconIndicators!T3,"")</f>
        <v>-4320</v>
      </c>
      <c r="U29" s="4">
        <f>IF(U3&lt;&gt;"",U28*(1+UnosPodataka!AB13)^-EconIndicators!U3,"")</f>
        <v>-4320</v>
      </c>
      <c r="V29" s="4">
        <f>IF(V3&lt;&gt;"",V28*(1+UnosPodataka!AC13)^-EconIndicators!V3,"")</f>
        <v>-4320</v>
      </c>
      <c r="W29" s="4">
        <f>IF(W3&lt;&gt;"",W28*(1+UnosPodataka!AD13)^-EconIndicators!W3,"")</f>
        <v>-4320</v>
      </c>
      <c r="X29" s="4">
        <f>IF(X3&lt;&gt;"",X28*(1+UnosPodataka!AE13)^-EconIndicators!X3,"")</f>
        <v>-4320</v>
      </c>
      <c r="Y29" s="4">
        <f>IF(Y3&lt;&gt;"",Y28*(1+UnosPodataka!AF13)^-EconIndicators!Y3,"")</f>
        <v>-4320</v>
      </c>
      <c r="Z29" s="4"/>
    </row>
    <row r="30" spans="1:26" hidden="1" x14ac:dyDescent="0.25">
      <c r="A30" s="57" t="s">
        <v>128</v>
      </c>
      <c r="B30" s="57"/>
      <c r="C30" s="57"/>
      <c r="D30" s="57"/>
      <c r="E30" s="4">
        <f>-E5</f>
        <v>-89000</v>
      </c>
      <c r="F30" s="4">
        <f t="shared" ref="F30:Y30" si="7">IF(F3&lt;&gt;"",E30+F29,"")</f>
        <v>-95293.269230769234</v>
      </c>
      <c r="G30" s="4">
        <f t="shared" si="7"/>
        <v>-101583.57938629281</v>
      </c>
      <c r="H30" s="4">
        <f t="shared" si="7"/>
        <v>-107612.83245122807</v>
      </c>
      <c r="I30" s="4">
        <f t="shared" si="7"/>
        <v>-113374.50199831028</v>
      </c>
      <c r="J30" s="4">
        <f t="shared" si="7"/>
        <v>-118861.89843959313</v>
      </c>
      <c r="K30" s="4">
        <f t="shared" si="7"/>
        <v>-124068.16494743165</v>
      </c>
      <c r="L30" s="4">
        <f t="shared" si="7"/>
        <v>-128986.2732734897</v>
      </c>
      <c r="M30" s="4">
        <f t="shared" si="7"/>
        <v>-133609.01946322279</v>
      </c>
      <c r="N30" s="4">
        <f t="shared" si="7"/>
        <v>-137929.01946322279</v>
      </c>
      <c r="O30" s="4">
        <f t="shared" si="7"/>
        <v>-142249.01946322279</v>
      </c>
      <c r="P30" s="4">
        <f t="shared" si="7"/>
        <v>-146569.01946322279</v>
      </c>
      <c r="Q30" s="4">
        <f t="shared" si="7"/>
        <v>-150889.01946322279</v>
      </c>
      <c r="R30" s="4">
        <f t="shared" si="7"/>
        <v>-155209.01946322279</v>
      </c>
      <c r="S30" s="4">
        <f t="shared" si="7"/>
        <v>-159529.01946322279</v>
      </c>
      <c r="T30" s="4">
        <f t="shared" si="7"/>
        <v>-163849.01946322279</v>
      </c>
      <c r="U30" s="4">
        <f t="shared" si="7"/>
        <v>-168169.01946322279</v>
      </c>
      <c r="V30" s="4">
        <f t="shared" si="7"/>
        <v>-172489.01946322279</v>
      </c>
      <c r="W30" s="4">
        <f t="shared" si="7"/>
        <v>-176809.01946322279</v>
      </c>
      <c r="X30" s="4">
        <f t="shared" si="7"/>
        <v>-181129.01946322279</v>
      </c>
      <c r="Y30" s="4">
        <f t="shared" si="7"/>
        <v>-185449.01946322279</v>
      </c>
    </row>
    <row r="31" spans="1:26" hidden="1" x14ac:dyDescent="0.25">
      <c r="A31" s="57" t="s">
        <v>143</v>
      </c>
      <c r="B31" s="57"/>
      <c r="C31" s="57"/>
      <c r="D31" s="57"/>
      <c r="F31" s="4">
        <f t="shared" ref="F31:Y31" si="8">IF(F3&lt;&gt;"",F12,"")</f>
        <v>26026.829206611066</v>
      </c>
      <c r="G31" s="4">
        <f t="shared" si="8"/>
        <v>26026.829206611066</v>
      </c>
      <c r="H31" s="4">
        <f t="shared" si="8"/>
        <v>26026.829206611066</v>
      </c>
      <c r="I31" s="4">
        <f t="shared" si="8"/>
        <v>26026.829206611066</v>
      </c>
      <c r="J31" s="4">
        <f t="shared" si="8"/>
        <v>26026.829206611066</v>
      </c>
      <c r="K31" s="4">
        <f t="shared" si="8"/>
        <v>26026.829206611066</v>
      </c>
      <c r="L31" s="4">
        <f t="shared" si="8"/>
        <v>26026.829206611066</v>
      </c>
      <c r="M31" s="4">
        <f t="shared" si="8"/>
        <v>26026.829206611066</v>
      </c>
      <c r="N31" s="4">
        <f t="shared" si="8"/>
        <v>26026.829206611066</v>
      </c>
      <c r="O31" s="4">
        <f t="shared" si="8"/>
        <v>26026.829206611066</v>
      </c>
      <c r="P31" s="4">
        <f t="shared" si="8"/>
        <v>26026.829206611066</v>
      </c>
      <c r="Q31" s="4">
        <f t="shared" si="8"/>
        <v>26026.829206611066</v>
      </c>
      <c r="R31" s="4">
        <f t="shared" si="8"/>
        <v>26026.829206611066</v>
      </c>
      <c r="S31" s="4">
        <f t="shared" si="8"/>
        <v>26026.829206611066</v>
      </c>
      <c r="T31" s="4">
        <f t="shared" si="8"/>
        <v>26026.829206611066</v>
      </c>
      <c r="U31" s="4">
        <f t="shared" si="8"/>
        <v>26026.829206611066</v>
      </c>
      <c r="V31" s="4">
        <f t="shared" si="8"/>
        <v>26026.829206611066</v>
      </c>
      <c r="W31" s="4">
        <f t="shared" si="8"/>
        <v>26026.829206611066</v>
      </c>
      <c r="X31" s="4">
        <f t="shared" si="8"/>
        <v>26026.829206611066</v>
      </c>
      <c r="Y31" s="4">
        <f t="shared" si="8"/>
        <v>26026.829206611066</v>
      </c>
    </row>
    <row r="32" spans="1:26" hidden="1" x14ac:dyDescent="0.25">
      <c r="A32" s="57" t="s">
        <v>144</v>
      </c>
      <c r="B32" s="57"/>
      <c r="C32" s="57"/>
      <c r="D32" s="57"/>
      <c r="F32" s="4">
        <f>IF(F3&lt;&gt;"",F31*(1+UnosPodataka!M13)^-F3,"")</f>
        <v>25025.797314049101</v>
      </c>
      <c r="G32" s="4">
        <f>IF(G3&lt;&gt;"",G31*(1+UnosPodataka!N13)^-G3,"")</f>
        <v>26026.829206611066</v>
      </c>
      <c r="H32" s="4">
        <f>IF(H3&lt;&gt;"",H31*(1+UnosPodataka!O13)^-H3,"")</f>
        <v>26026.829206611066</v>
      </c>
      <c r="I32" s="4">
        <f>IF(I3&lt;&gt;"",I31*(1+UnosPodataka!P13)^-I3,"")</f>
        <v>26026.829206611066</v>
      </c>
      <c r="J32" s="4">
        <f>IF(J3&lt;&gt;"",J31*(1+UnosPodataka!Q13)^-J3,"")</f>
        <v>26026.829206611066</v>
      </c>
      <c r="K32" s="4">
        <f>IF(K3&lt;&gt;"",K31*(1+UnosPodataka!R13)^-K3,"")</f>
        <v>26026.829206611066</v>
      </c>
      <c r="L32" s="4">
        <f>IF(L3&lt;&gt;"",L31*(1+UnosPodataka!S13)^-L3,"")</f>
        <v>26026.829206611066</v>
      </c>
      <c r="M32" s="4">
        <f>IF(M3&lt;&gt;"",M31*(1+UnosPodataka!T13)^-M3,"")</f>
        <v>26026.829206611066</v>
      </c>
      <c r="N32" s="4">
        <f>IF(N3&lt;&gt;"",N31*(1+UnosPodataka!U13)^-N3,"")</f>
        <v>26026.829206611066</v>
      </c>
      <c r="O32" s="4">
        <f>IF(O3&lt;&gt;"",O31*(1+UnosPodataka!V13)^-O3,"")</f>
        <v>26026.829206611066</v>
      </c>
      <c r="P32" s="4">
        <f>IF(P3&lt;&gt;"",P31*(1+UnosPodataka!W13)^-P3,"")</f>
        <v>26026.829206611066</v>
      </c>
      <c r="Q32" s="4">
        <f>IF(Q3&lt;&gt;"",Q31*(1+UnosPodataka!X13)^-Q3,"")</f>
        <v>26026.829206611066</v>
      </c>
      <c r="R32" s="4">
        <f>IF(R3&lt;&gt;"",R31*(1+UnosPodataka!Y13)^-R3,"")</f>
        <v>26026.829206611066</v>
      </c>
      <c r="S32" s="4">
        <f>IF(S3&lt;&gt;"",S31*(1+UnosPodataka!Z13)^-S3,"")</f>
        <v>26026.829206611066</v>
      </c>
      <c r="T32" s="4">
        <f>IF(T3&lt;&gt;"",T31*(1+UnosPodataka!AA13)^-T3,"")</f>
        <v>26026.829206611066</v>
      </c>
      <c r="U32" s="4">
        <f>IF(U3&lt;&gt;"",U31*(1+UnosPodataka!AB13)^-U3,"")</f>
        <v>26026.829206611066</v>
      </c>
      <c r="V32" s="4">
        <f>IF(V3&lt;&gt;"",V31*(1+UnosPodataka!AC13)^-V3,"")</f>
        <v>26026.829206611066</v>
      </c>
      <c r="W32" s="4">
        <f>IF(W3&lt;&gt;"",W31*(1+UnosPodataka!AD13)^-W3,"")</f>
        <v>26026.829206611066</v>
      </c>
      <c r="X32" s="4">
        <f>IF(X3&lt;&gt;"",X31*(1+UnosPodataka!AE13)^-X3,"")</f>
        <v>26026.829206611066</v>
      </c>
      <c r="Y32" s="4">
        <f>IF(Y3&lt;&gt;"",Y31*(1+UnosPodataka!AF13)^-Y3,"")</f>
        <v>26026.829206611066</v>
      </c>
    </row>
    <row r="33" spans="1:25" hidden="1" x14ac:dyDescent="0.25">
      <c r="A33" s="57" t="s">
        <v>131</v>
      </c>
      <c r="B33" s="57"/>
      <c r="C33" s="57"/>
      <c r="D33" s="57"/>
      <c r="F33" s="4">
        <f t="shared" ref="F33:Y33" si="9">IF(F3&lt;&gt;"",E33+F32,"")</f>
        <v>25025.797314049101</v>
      </c>
      <c r="G33" s="4">
        <f t="shared" si="9"/>
        <v>51052.626520660167</v>
      </c>
      <c r="H33" s="4">
        <f t="shared" si="9"/>
        <v>77079.455727271241</v>
      </c>
      <c r="I33" s="4">
        <f t="shared" si="9"/>
        <v>103106.2849338823</v>
      </c>
      <c r="J33" s="4">
        <f t="shared" si="9"/>
        <v>129133.11414049336</v>
      </c>
      <c r="K33" s="4">
        <f t="shared" si="9"/>
        <v>155159.94334710442</v>
      </c>
      <c r="L33" s="4">
        <f t="shared" si="9"/>
        <v>181186.77255371548</v>
      </c>
      <c r="M33" s="4">
        <f t="shared" si="9"/>
        <v>207213.60176032654</v>
      </c>
      <c r="N33" s="4">
        <f t="shared" si="9"/>
        <v>233240.43096693759</v>
      </c>
      <c r="O33" s="4">
        <f t="shared" si="9"/>
        <v>259267.26017354865</v>
      </c>
      <c r="P33" s="4">
        <f t="shared" si="9"/>
        <v>285294.08938015974</v>
      </c>
      <c r="Q33" s="4">
        <f t="shared" si="9"/>
        <v>311320.91858677083</v>
      </c>
      <c r="R33" s="4">
        <f t="shared" si="9"/>
        <v>337347.74779338192</v>
      </c>
      <c r="S33" s="4">
        <f t="shared" si="9"/>
        <v>363374.57699999301</v>
      </c>
      <c r="T33" s="4">
        <f t="shared" si="9"/>
        <v>389401.40620660409</v>
      </c>
      <c r="U33" s="4">
        <f t="shared" si="9"/>
        <v>415428.23541321518</v>
      </c>
      <c r="V33" s="4">
        <f t="shared" si="9"/>
        <v>441455.06461982627</v>
      </c>
      <c r="W33" s="4">
        <f t="shared" si="9"/>
        <v>467481.89382643736</v>
      </c>
      <c r="X33" s="4">
        <f t="shared" si="9"/>
        <v>493508.72303304845</v>
      </c>
      <c r="Y33" s="4">
        <f t="shared" si="9"/>
        <v>519535.55223965953</v>
      </c>
    </row>
    <row r="34" spans="1:25" hidden="1" x14ac:dyDescent="0.25">
      <c r="A34" s="57" t="s">
        <v>132</v>
      </c>
      <c r="B34" s="57"/>
      <c r="C34" s="57"/>
      <c r="D34" s="57"/>
      <c r="F34" s="4">
        <f t="shared" ref="F34:X34" si="10">IF(F3&lt;&gt;"",F33+F30,"")</f>
        <v>-70267.471916720126</v>
      </c>
      <c r="G34" s="4">
        <f t="shared" si="10"/>
        <v>-50530.952865632644</v>
      </c>
      <c r="H34" s="4">
        <f t="shared" si="10"/>
        <v>-30533.376723956826</v>
      </c>
      <c r="I34" s="4">
        <f t="shared" si="10"/>
        <v>-10268.217064427983</v>
      </c>
      <c r="J34" s="4">
        <f t="shared" si="10"/>
        <v>10271.215700900226</v>
      </c>
      <c r="K34" s="4">
        <f t="shared" si="10"/>
        <v>31091.778399672767</v>
      </c>
      <c r="L34" s="4">
        <f t="shared" si="10"/>
        <v>52200.499280225777</v>
      </c>
      <c r="M34" s="4">
        <f t="shared" si="10"/>
        <v>73604.582297103741</v>
      </c>
      <c r="N34" s="4">
        <f t="shared" si="10"/>
        <v>95311.4115037148</v>
      </c>
      <c r="O34" s="4">
        <f t="shared" si="10"/>
        <v>117018.24071032586</v>
      </c>
      <c r="P34" s="4">
        <f t="shared" si="10"/>
        <v>138725.06991693695</v>
      </c>
      <c r="Q34" s="4">
        <f t="shared" si="10"/>
        <v>160431.89912354804</v>
      </c>
      <c r="R34" s="4">
        <f t="shared" si="10"/>
        <v>182138.72833015912</v>
      </c>
      <c r="S34" s="4">
        <f t="shared" si="10"/>
        <v>203845.55753677021</v>
      </c>
      <c r="T34" s="4">
        <f t="shared" si="10"/>
        <v>225552.3867433813</v>
      </c>
      <c r="U34" s="4">
        <f t="shared" si="10"/>
        <v>247259.21594999239</v>
      </c>
      <c r="V34" s="4">
        <f t="shared" si="10"/>
        <v>268966.04515660345</v>
      </c>
      <c r="W34" s="4">
        <f t="shared" si="10"/>
        <v>290672.87436321459</v>
      </c>
      <c r="X34" s="4">
        <f t="shared" si="10"/>
        <v>312379.70356982562</v>
      </c>
    </row>
    <row r="36" spans="1:25" x14ac:dyDescent="0.25">
      <c r="A36" s="57" t="s">
        <v>133</v>
      </c>
      <c r="B36" s="57"/>
      <c r="C36" s="57"/>
      <c r="D36" s="57"/>
      <c r="E36" s="4">
        <f>E5</f>
        <v>89000</v>
      </c>
      <c r="F36" s="4">
        <f t="shared" ref="F36:Y36" si="11">IF(F3="",E36,-F30)</f>
        <v>95293.269230769234</v>
      </c>
      <c r="G36" s="4">
        <f t="shared" si="11"/>
        <v>101583.57938629281</v>
      </c>
      <c r="H36" s="4">
        <f t="shared" si="11"/>
        <v>107612.83245122807</v>
      </c>
      <c r="I36" s="4">
        <f t="shared" si="11"/>
        <v>113374.50199831028</v>
      </c>
      <c r="J36" s="4">
        <f t="shared" si="11"/>
        <v>118861.89843959313</v>
      </c>
      <c r="K36" s="4">
        <f t="shared" si="11"/>
        <v>124068.16494743165</v>
      </c>
      <c r="L36" s="4">
        <f t="shared" si="11"/>
        <v>128986.2732734897</v>
      </c>
      <c r="M36" s="4">
        <f t="shared" si="11"/>
        <v>133609.01946322279</v>
      </c>
      <c r="N36" s="4">
        <f t="shared" si="11"/>
        <v>137929.01946322279</v>
      </c>
      <c r="O36" s="4">
        <f t="shared" si="11"/>
        <v>142249.01946322279</v>
      </c>
      <c r="P36" s="4">
        <f t="shared" si="11"/>
        <v>146569.01946322279</v>
      </c>
      <c r="Q36" s="4">
        <f t="shared" si="11"/>
        <v>150889.01946322279</v>
      </c>
      <c r="R36" s="4">
        <f t="shared" si="11"/>
        <v>155209.01946322279</v>
      </c>
      <c r="S36" s="4">
        <f t="shared" si="11"/>
        <v>159529.01946322279</v>
      </c>
      <c r="T36" s="4">
        <f t="shared" si="11"/>
        <v>163849.01946322279</v>
      </c>
      <c r="U36" s="4">
        <f t="shared" si="11"/>
        <v>168169.01946322279</v>
      </c>
      <c r="V36" s="4">
        <f t="shared" si="11"/>
        <v>172489.01946322279</v>
      </c>
      <c r="W36" s="4">
        <f t="shared" si="11"/>
        <v>176809.01946322279</v>
      </c>
      <c r="X36" s="4">
        <f t="shared" si="11"/>
        <v>181129.01946322279</v>
      </c>
      <c r="Y36" s="4">
        <f t="shared" si="11"/>
        <v>185449.01946322279</v>
      </c>
    </row>
    <row r="37" spans="1:25" x14ac:dyDescent="0.25">
      <c r="A37" s="57" t="s">
        <v>145</v>
      </c>
      <c r="B37" s="57"/>
      <c r="C37" s="57"/>
      <c r="D37" s="57"/>
      <c r="F37" s="4">
        <f t="shared" ref="F37:Y37" si="12">IF(F3="",E37,F33)</f>
        <v>25025.797314049101</v>
      </c>
      <c r="G37" s="4">
        <f t="shared" si="12"/>
        <v>51052.626520660167</v>
      </c>
      <c r="H37" s="4">
        <f t="shared" si="12"/>
        <v>77079.455727271241</v>
      </c>
      <c r="I37" s="4">
        <f t="shared" si="12"/>
        <v>103106.2849338823</v>
      </c>
      <c r="J37" s="4">
        <f t="shared" si="12"/>
        <v>129133.11414049336</v>
      </c>
      <c r="K37" s="4">
        <f t="shared" si="12"/>
        <v>155159.94334710442</v>
      </c>
      <c r="L37" s="4">
        <f t="shared" si="12"/>
        <v>181186.77255371548</v>
      </c>
      <c r="M37" s="4">
        <f t="shared" si="12"/>
        <v>207213.60176032654</v>
      </c>
      <c r="N37" s="4">
        <f t="shared" si="12"/>
        <v>233240.43096693759</v>
      </c>
      <c r="O37" s="4">
        <f t="shared" si="12"/>
        <v>259267.26017354865</v>
      </c>
      <c r="P37" s="4">
        <f t="shared" si="12"/>
        <v>285294.08938015974</v>
      </c>
      <c r="Q37" s="4">
        <f t="shared" si="12"/>
        <v>311320.91858677083</v>
      </c>
      <c r="R37" s="4">
        <f t="shared" si="12"/>
        <v>337347.74779338192</v>
      </c>
      <c r="S37" s="4">
        <f t="shared" si="12"/>
        <v>363374.57699999301</v>
      </c>
      <c r="T37" s="4">
        <f t="shared" si="12"/>
        <v>389401.40620660409</v>
      </c>
      <c r="U37" s="4">
        <f t="shared" si="12"/>
        <v>415428.23541321518</v>
      </c>
      <c r="V37" s="4">
        <f t="shared" si="12"/>
        <v>441455.06461982627</v>
      </c>
      <c r="W37" s="4">
        <f t="shared" si="12"/>
        <v>467481.89382643736</v>
      </c>
      <c r="X37" s="4">
        <f t="shared" si="12"/>
        <v>493508.72303304845</v>
      </c>
      <c r="Y37" s="4">
        <f t="shared" si="12"/>
        <v>519535.55223965953</v>
      </c>
    </row>
    <row r="39" spans="1:25" x14ac:dyDescent="0.25">
      <c r="A39" s="59" t="s">
        <v>30</v>
      </c>
      <c r="B39" s="59"/>
      <c r="C39" s="59"/>
      <c r="D39" s="59"/>
      <c r="E39" s="22">
        <f>NPV(UnosPodataka!M13,EconIndicators!E26:Y26)</f>
        <v>152579.62409051787</v>
      </c>
    </row>
    <row r="40" spans="1:25" x14ac:dyDescent="0.25">
      <c r="A40" s="59" t="s">
        <v>31</v>
      </c>
      <c r="B40" s="59"/>
      <c r="C40" s="59"/>
      <c r="D40" s="59"/>
      <c r="E40" s="23">
        <f>IRR(E26:Z26,UnosPodataka!M13)</f>
        <v>0.46333467993909117</v>
      </c>
    </row>
  </sheetData>
  <sheetProtection selectLockedCells="1"/>
  <mergeCells count="36">
    <mergeCell ref="A9:D9"/>
    <mergeCell ref="A37:D37"/>
    <mergeCell ref="A39:D39"/>
    <mergeCell ref="A40:D40"/>
    <mergeCell ref="A11:D11"/>
    <mergeCell ref="A30:D30"/>
    <mergeCell ref="A31:D31"/>
    <mergeCell ref="A32:D32"/>
    <mergeCell ref="A33:D33"/>
    <mergeCell ref="A34:D34"/>
    <mergeCell ref="A36:D36"/>
    <mergeCell ref="A23:D23"/>
    <mergeCell ref="A24:D24"/>
    <mergeCell ref="A25:D25"/>
    <mergeCell ref="A26:D26"/>
    <mergeCell ref="A28:D28"/>
    <mergeCell ref="A29:D29"/>
    <mergeCell ref="A22:D22"/>
    <mergeCell ref="A10:D10"/>
    <mergeCell ref="A12:D12"/>
    <mergeCell ref="A13:D13"/>
    <mergeCell ref="A14:D14"/>
    <mergeCell ref="A15:D15"/>
    <mergeCell ref="A16:D16"/>
    <mergeCell ref="A17:D17"/>
    <mergeCell ref="A18:D18"/>
    <mergeCell ref="A20:D20"/>
    <mergeCell ref="A21:D21"/>
    <mergeCell ref="I1:J1"/>
    <mergeCell ref="N1:O1"/>
    <mergeCell ref="A8:D8"/>
    <mergeCell ref="A1:D1"/>
    <mergeCell ref="A3:D3"/>
    <mergeCell ref="A5:D5"/>
    <mergeCell ref="A6:D6"/>
    <mergeCell ref="A7:D7"/>
  </mergeCells>
  <hyperlinks>
    <hyperlink ref="I1:J1" location="FinaIndicators!I1" display="NAZAD"/>
    <hyperlink ref="N1:O1" location="GraphFina!A1" display="DALJE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5" sqref="C5:D6"/>
    </sheetView>
  </sheetViews>
  <sheetFormatPr defaultRowHeight="15" x14ac:dyDescent="0.25"/>
  <sheetData>
    <row r="1" spans="1:4" ht="15" customHeight="1" x14ac:dyDescent="0.25">
      <c r="A1" s="53" t="s">
        <v>146</v>
      </c>
      <c r="B1" s="53"/>
      <c r="C1" s="53"/>
      <c r="D1" s="53"/>
    </row>
    <row r="2" spans="1:4" ht="15" customHeight="1" x14ac:dyDescent="0.25">
      <c r="A2" s="53"/>
      <c r="B2" s="53"/>
      <c r="C2" s="53"/>
      <c r="D2" s="53"/>
    </row>
    <row r="3" spans="1:4" x14ac:dyDescent="0.25">
      <c r="A3" s="53"/>
      <c r="B3" s="53"/>
      <c r="C3" s="53"/>
      <c r="D3" s="53"/>
    </row>
    <row r="5" spans="1:4" x14ac:dyDescent="0.25">
      <c r="A5" s="55" t="s">
        <v>160</v>
      </c>
      <c r="B5" s="55"/>
      <c r="C5" s="56" t="s">
        <v>161</v>
      </c>
      <c r="D5" s="56"/>
    </row>
    <row r="6" spans="1:4" x14ac:dyDescent="0.25">
      <c r="A6" s="55"/>
      <c r="B6" s="55"/>
      <c r="C6" s="56"/>
      <c r="D6" s="56"/>
    </row>
  </sheetData>
  <sheetProtection selectLockedCells="1" selectUnlockedCells="1"/>
  <mergeCells count="3">
    <mergeCell ref="A1:D3"/>
    <mergeCell ref="A5:B6"/>
    <mergeCell ref="C5:D6"/>
  </mergeCells>
  <hyperlinks>
    <hyperlink ref="A5:B6" location="EconIndicators!I1" display="NAZAD"/>
    <hyperlink ref="C5:D6" location="GraphEcon!A1" display="DALJ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5" sqref="C5:D6"/>
    </sheetView>
  </sheetViews>
  <sheetFormatPr defaultRowHeight="15" x14ac:dyDescent="0.25"/>
  <sheetData>
    <row r="1" spans="1:4" ht="15" customHeight="1" x14ac:dyDescent="0.25">
      <c r="A1" s="53" t="s">
        <v>147</v>
      </c>
      <c r="B1" s="53"/>
      <c r="C1" s="53"/>
      <c r="D1" s="53"/>
    </row>
    <row r="2" spans="1:4" ht="15" customHeight="1" x14ac:dyDescent="0.25">
      <c r="A2" s="53"/>
      <c r="B2" s="53"/>
      <c r="C2" s="53"/>
      <c r="D2" s="53"/>
    </row>
    <row r="3" spans="1:4" x14ac:dyDescent="0.25">
      <c r="A3" s="53"/>
      <c r="B3" s="53"/>
      <c r="C3" s="53"/>
      <c r="D3" s="53"/>
    </row>
    <row r="5" spans="1:4" x14ac:dyDescent="0.25">
      <c r="A5" s="55" t="s">
        <v>160</v>
      </c>
      <c r="B5" s="55"/>
      <c r="C5" s="56" t="s">
        <v>161</v>
      </c>
      <c r="D5" s="56"/>
    </row>
    <row r="6" spans="1:4" x14ac:dyDescent="0.25">
      <c r="A6" s="55"/>
      <c r="B6" s="55"/>
      <c r="C6" s="56"/>
      <c r="D6" s="56"/>
    </row>
  </sheetData>
  <sheetProtection selectLockedCells="1" selectUnlockedCells="1"/>
  <mergeCells count="3">
    <mergeCell ref="A1:D3"/>
    <mergeCell ref="A5:B6"/>
    <mergeCell ref="C5:D6"/>
  </mergeCells>
  <hyperlinks>
    <hyperlink ref="A5:B6" location="GraphFina!A5" display="NAZAD"/>
    <hyperlink ref="C5:D6" location="LCoEE!A1" display="DALJ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8</vt:i4>
      </vt:variant>
    </vt:vector>
  </HeadingPairs>
  <TitlesOfParts>
    <vt:vector size="22" baseType="lpstr">
      <vt:lpstr>Pocetna</vt:lpstr>
      <vt:lpstr>PomTab1</vt:lpstr>
      <vt:lpstr>UnosPodataka</vt:lpstr>
      <vt:lpstr>Ustede</vt:lpstr>
      <vt:lpstr>Anuiteti</vt:lpstr>
      <vt:lpstr>FinaIndicators</vt:lpstr>
      <vt:lpstr>EconIndicators</vt:lpstr>
      <vt:lpstr>GraphFina</vt:lpstr>
      <vt:lpstr>GraphEcon</vt:lpstr>
      <vt:lpstr>LCoEE</vt:lpstr>
      <vt:lpstr>SALCoEE</vt:lpstr>
      <vt:lpstr>AkoESCO</vt:lpstr>
      <vt:lpstr>ESCOGrafFina</vt:lpstr>
      <vt:lpstr>REZIME</vt:lpstr>
      <vt:lpstr>CARBON</vt:lpstr>
      <vt:lpstr>Equity</vt:lpstr>
      <vt:lpstr>FIRR</vt:lpstr>
      <vt:lpstr>FNPV</vt:lpstr>
      <vt:lpstr>Investment</vt:lpstr>
      <vt:lpstr>LCoE</vt:lpstr>
      <vt:lpstr>LOAN</vt:lpstr>
      <vt:lpstr>PROJEKAT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Slobodan Jerotić</cp:lastModifiedBy>
  <dcterms:created xsi:type="dcterms:W3CDTF">2022-05-19T14:49:19Z</dcterms:created>
  <dcterms:modified xsi:type="dcterms:W3CDTF">2022-08-24T08:39:32Z</dcterms:modified>
</cp:coreProperties>
</file>